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X:\DEZ3\SG_35\Fobbe\Weiterb. VBStG\AG\Kalkulation\Kalkulation_2020\"/>
    </mc:Choice>
  </mc:AlternateContent>
  <bookViews>
    <workbookView xWindow="0" yWindow="0" windowWidth="28800" windowHeight="12300" tabRatio="916" activeTab="11"/>
  </bookViews>
  <sheets>
    <sheet name="1_Allg_Angaben" sheetId="1" r:id="rId1"/>
    <sheet name="1.1_Nebenberechnungen" sheetId="7" r:id="rId2"/>
    <sheet name="2_Studienverlaufsplan" sheetId="2" r:id="rId3"/>
    <sheet name="3_Lehrmaterial" sheetId="8" r:id="rId4"/>
    <sheet name="3.1_Nebenberechnungen" sheetId="9" r:id="rId5"/>
    <sheet name="4_Präsenz" sheetId="3" r:id="rId6"/>
    <sheet name="4.1_Nebenberechnungen" sheetId="11" r:id="rId7"/>
    <sheet name="5_Prüfungen" sheetId="4" r:id="rId8"/>
    <sheet name="5.1_Nebenberechnungen" sheetId="12" r:id="rId9"/>
    <sheet name="6_Gemeinkosten" sheetId="5" r:id="rId10"/>
    <sheet name="PKs_2018" sheetId="10" state="veryHidden" r:id="rId11"/>
    <sheet name="7_Überblick" sheetId="6" r:id="rId12"/>
  </sheets>
  <definedNames>
    <definedName name="Abschlussquote">'1_Allg_Angaben'!$C$18</definedName>
    <definedName name="Anzahl_beteil_HS">'1_Allg_Angaben'!#REF!</definedName>
    <definedName name="Anzahl_HS">'1_Allg_Angaben'!$I$12</definedName>
    <definedName name="Anzahl_Stud">'3_Lehrmaterial'!$J$12</definedName>
    <definedName name="Aufnahmekapazität">'1_Allg_Angaben'!$C$17</definedName>
    <definedName name="Beteiligte_HS">'1_Allg_Angaben'!#REF!</definedName>
    <definedName name="Dauer_Studium">'1_Allg_Angaben'!$C$12</definedName>
    <definedName name="DB_PK">PKs_2018!$C:$D</definedName>
    <definedName name="Druck_pauschal">'3_Lehrmaterial'!$J$11</definedName>
    <definedName name="_xlnm.Print_Titles" localSheetId="0">'1_Allg_Angaben'!$1:$1</definedName>
    <definedName name="G_1">'4_Präsenz'!#REF!</definedName>
    <definedName name="G_2">'4_Präsenz'!#REF!</definedName>
    <definedName name="G_3">'4_Präsenz'!#REF!</definedName>
    <definedName name="Gemeinkosten_Summe">'7_Überblick'!$F$22</definedName>
    <definedName name="Gesamt_GK">'6_Gemeinkosten'!$I$14</definedName>
    <definedName name="Hausarbeit">'5_Prüfungen'!$M$30</definedName>
    <definedName name="Immatrikulation_WS">'1_Allg_Angaben'!$F$26</definedName>
    <definedName name="Immatrikulation_WS_SS">'1_Allg_Angaben'!$F$27</definedName>
    <definedName name="Immatrikulationsangabe">'1_Allg_Angaben'!#REF!</definedName>
    <definedName name="Klausur_Aufsicht">'5_Prüfungen'!$M$34</definedName>
    <definedName name="Klausur_Erstellung_Korrektur">'5_Prüfungen'!$M$31</definedName>
    <definedName name="Kosten_Studienbrief">'2_Studienverlaufsplan'!#REF!</definedName>
    <definedName name="Lehrmaterial_Summe">'7_Überblick'!$C$16</definedName>
    <definedName name="Mündliche_Prüfung">'5_Prüfungen'!$M$29</definedName>
    <definedName name="Präsenz">'4_Präsenz'!#REF!</definedName>
    <definedName name="Präsenz_2">'4_Präsenz'!#REF!</definedName>
    <definedName name="Präsenz_3">'4_Präsenz'!$N$31</definedName>
    <definedName name="Präsenz_Unterstützung">'4_Präsenz'!$N$34</definedName>
    <definedName name="Präsenzkosten_Summe">'7_Überblick'!$F$16</definedName>
    <definedName name="proz">'1_Allg_Angaben'!#REF!</definedName>
    <definedName name="proz1">'1_Allg_Angaben'!#REF!</definedName>
    <definedName name="proz2">'1_Allg_Angaben'!#REF!</definedName>
    <definedName name="proz3">'1_Allg_Angaben'!#REF!</definedName>
    <definedName name="Prüfungskosten_Summe">'7_Überblick'!$C$22</definedName>
    <definedName name="Semester">'3_Lehrmaterial'!$J$27</definedName>
    <definedName name="Stand_Datum">'1_Allg_Angaben'!$I$11</definedName>
    <definedName name="Studiengangsbezeichnung">'1_Allg_Angaben'!$C$11</definedName>
    <definedName name="Summe_Hausarbeit">'5.1_Nebenberechnungen'!$E$32</definedName>
    <definedName name="Summe_Klausur_Aufsicht">'5.1_Nebenberechnungen'!$H$32</definedName>
    <definedName name="Summe_Klausur_Erst_Korr">'5.1_Nebenberechnungen'!$F$32</definedName>
    <definedName name="Summe_Mündliche_Prüfung">'5.1_Nebenberechnungen'!$D$32</definedName>
    <definedName name="Summe_Präsenz">'4.1_Nebenberechnungen'!$D$30</definedName>
    <definedName name="Summe_Präsenz_Klausur_Gesamt">'4.1_Nebenberechnungen'!$N$70</definedName>
    <definedName name="Summe_Präsenz_Unterstützung">'4.1_Nebenberechnungen'!$H$30</definedName>
    <definedName name="Summe_Präsenz2">'4_Präsenz'!#REF!</definedName>
    <definedName name="Summe_Präsenz3">'4.1_Nebenberechnungen'!$E$30</definedName>
    <definedName name="Summe51a">'6_Gemeinkosten'!#REF!</definedName>
    <definedName name="Summe51b">'6_Gemeinkosten'!#REF!</definedName>
    <definedName name="Summe52">'6_Gemeinkosten'!#REF!</definedName>
    <definedName name="Vergütung_SWS">'3_Lehrmaterial'!$J$30</definedName>
    <definedName name="Z_2F462239_8624_472D_83C3_142E64AAE7D6_.wvu.Rows" localSheetId="0" hidden="1">'1.1_Nebenberechnungen'!$16:$17</definedName>
  </definedNames>
  <calcPr calcId="162913" fullPrecision="0"/>
  <customWorkbookViews>
    <customWorkbookView name="jusch001 - Persönliche Ansicht" guid="{2F462239-8624-472D-83C3-142E64AAE7D6}" mergeInterval="0" personalView="1" maximized="1" windowWidth="1916" windowHeight="855" activeSheetId="1"/>
  </customWorkbookViews>
</workbook>
</file>

<file path=xl/calcChain.xml><?xml version="1.0" encoding="utf-8"?>
<calcChain xmlns="http://schemas.openxmlformats.org/spreadsheetml/2006/main">
  <c r="C41" i="5" l="1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40" i="5"/>
  <c r="D35" i="10" l="1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F12" i="5" l="1"/>
  <c r="F13" i="5"/>
  <c r="F14" i="5"/>
  <c r="F15" i="5"/>
  <c r="C13" i="6"/>
  <c r="C14" i="6"/>
  <c r="D17" i="5"/>
  <c r="D16" i="5" s="1"/>
  <c r="F16" i="5" s="1"/>
  <c r="C26" i="7"/>
  <c r="C10" i="7"/>
  <c r="C18" i="7" s="1"/>
  <c r="D10" i="7"/>
  <c r="K26" i="7"/>
  <c r="J26" i="7"/>
  <c r="I26" i="7"/>
  <c r="H26" i="7"/>
  <c r="G26" i="7"/>
  <c r="H27" i="7" s="1"/>
  <c r="F26" i="7"/>
  <c r="E26" i="7"/>
  <c r="F27" i="7" s="1"/>
  <c r="D26" i="7"/>
  <c r="K10" i="7"/>
  <c r="J10" i="7"/>
  <c r="I10" i="7"/>
  <c r="H10" i="7"/>
  <c r="G10" i="7"/>
  <c r="I11" i="7" s="1"/>
  <c r="F10" i="7"/>
  <c r="F18" i="7" s="1"/>
  <c r="E10" i="7"/>
  <c r="G11" i="7" s="1"/>
  <c r="D25" i="5"/>
  <c r="C12" i="6"/>
  <c r="D18" i="7"/>
  <c r="E11" i="7"/>
  <c r="F11" i="7"/>
  <c r="G12" i="7"/>
  <c r="H12" i="7"/>
  <c r="I13" i="7"/>
  <c r="K14" i="7" s="1"/>
  <c r="J11" i="7"/>
  <c r="K11" i="7"/>
  <c r="M12" i="7" s="1"/>
  <c r="L11" i="7"/>
  <c r="N12" i="7" s="1"/>
  <c r="L12" i="7"/>
  <c r="N13" i="7" s="1"/>
  <c r="P14" i="7" s="1"/>
  <c r="R15" i="7" s="1"/>
  <c r="C38" i="7"/>
  <c r="C39" i="7" s="1"/>
  <c r="D27" i="7"/>
  <c r="D38" i="7" s="1"/>
  <c r="D39" i="7" s="1"/>
  <c r="E27" i="7"/>
  <c r="E28" i="7"/>
  <c r="E38" i="7" s="1"/>
  <c r="E39" i="7" s="1"/>
  <c r="F28" i="7"/>
  <c r="G27" i="7"/>
  <c r="H28" i="7" s="1"/>
  <c r="I29" i="7" s="1"/>
  <c r="J30" i="7" s="1"/>
  <c r="K31" i="7" s="1"/>
  <c r="L32" i="7" s="1"/>
  <c r="M33" i="7" s="1"/>
  <c r="N34" i="7" s="1"/>
  <c r="O35" i="7" s="1"/>
  <c r="P36" i="7" s="1"/>
  <c r="Q37" i="7" s="1"/>
  <c r="G29" i="7"/>
  <c r="H30" i="7" s="1"/>
  <c r="I31" i="7" s="1"/>
  <c r="J32" i="7" s="1"/>
  <c r="K33" i="7" s="1"/>
  <c r="L34" i="7" s="1"/>
  <c r="M35" i="7" s="1"/>
  <c r="N36" i="7" s="1"/>
  <c r="O37" i="7" s="1"/>
  <c r="I27" i="7"/>
  <c r="J28" i="7" s="1"/>
  <c r="J27" i="7"/>
  <c r="K28" i="7" s="1"/>
  <c r="K27" i="7"/>
  <c r="L27" i="7"/>
  <c r="L28" i="7"/>
  <c r="M29" i="7"/>
  <c r="N30" i="7" s="1"/>
  <c r="O31" i="7" s="1"/>
  <c r="P32" i="7" s="1"/>
  <c r="Q33" i="7" s="1"/>
  <c r="R34" i="7" s="1"/>
  <c r="S35" i="7" s="1"/>
  <c r="T36" i="7" s="1"/>
  <c r="U37" i="7" s="1"/>
  <c r="U38" i="7" s="1"/>
  <c r="C40" i="7"/>
  <c r="I45" i="12"/>
  <c r="J45" i="12" s="1"/>
  <c r="I46" i="12"/>
  <c r="J46" i="12" s="1"/>
  <c r="D29" i="5"/>
  <c r="I13" i="5"/>
  <c r="C16" i="3"/>
  <c r="F16" i="3" s="1"/>
  <c r="C14" i="3"/>
  <c r="E14" i="3" s="1"/>
  <c r="G14" i="3" s="1"/>
  <c r="B50" i="11" s="1"/>
  <c r="D10" i="11" s="1"/>
  <c r="D40" i="12"/>
  <c r="F40" i="12"/>
  <c r="I14" i="4"/>
  <c r="D42" i="12" s="1"/>
  <c r="F42" i="12"/>
  <c r="I15" i="4"/>
  <c r="D43" i="12" s="1"/>
  <c r="E43" i="12" s="1"/>
  <c r="F43" i="12"/>
  <c r="I16" i="4"/>
  <c r="D44" i="12" s="1"/>
  <c r="E44" i="12" s="1"/>
  <c r="F44" i="12"/>
  <c r="I17" i="4"/>
  <c r="D45" i="12" s="1"/>
  <c r="E45" i="12" s="1"/>
  <c r="F45" i="12"/>
  <c r="I18" i="4"/>
  <c r="D46" i="12" s="1"/>
  <c r="E46" i="12" s="1"/>
  <c r="F46" i="12"/>
  <c r="I19" i="4"/>
  <c r="D47" i="12" s="1"/>
  <c r="F47" i="12"/>
  <c r="I20" i="4"/>
  <c r="D48" i="12" s="1"/>
  <c r="F48" i="12"/>
  <c r="I21" i="4"/>
  <c r="D49" i="12" s="1"/>
  <c r="E49" i="12" s="1"/>
  <c r="F49" i="12"/>
  <c r="I22" i="4"/>
  <c r="D50" i="12" s="1"/>
  <c r="E50" i="12" s="1"/>
  <c r="F50" i="12"/>
  <c r="I23" i="4"/>
  <c r="D51" i="12" s="1"/>
  <c r="F51" i="12"/>
  <c r="I24" i="4"/>
  <c r="D52" i="12" s="1"/>
  <c r="E52" i="12" s="1"/>
  <c r="F52" i="12"/>
  <c r="I25" i="4"/>
  <c r="D53" i="12" s="1"/>
  <c r="E53" i="12" s="1"/>
  <c r="F53" i="12"/>
  <c r="I26" i="4"/>
  <c r="D54" i="12" s="1"/>
  <c r="F54" i="12"/>
  <c r="I27" i="4"/>
  <c r="D55" i="12" s="1"/>
  <c r="E55" i="12" s="1"/>
  <c r="F55" i="12"/>
  <c r="I28" i="4"/>
  <c r="D56" i="12" s="1"/>
  <c r="F56" i="12"/>
  <c r="I29" i="4"/>
  <c r="D57" i="12" s="1"/>
  <c r="F57" i="12"/>
  <c r="I30" i="4"/>
  <c r="D58" i="12" s="1"/>
  <c r="E58" i="12" s="1"/>
  <c r="F58" i="12"/>
  <c r="I31" i="4"/>
  <c r="D59" i="12" s="1"/>
  <c r="E59" i="12" s="1"/>
  <c r="F59" i="12"/>
  <c r="I32" i="4"/>
  <c r="D60" i="12" s="1"/>
  <c r="E60" i="12" s="1"/>
  <c r="F60" i="12"/>
  <c r="I33" i="4"/>
  <c r="D61" i="12" s="1"/>
  <c r="F61" i="12"/>
  <c r="C13" i="12"/>
  <c r="D13" i="12" s="1"/>
  <c r="C14" i="12"/>
  <c r="D14" i="12" s="1"/>
  <c r="C15" i="12"/>
  <c r="B45" i="12"/>
  <c r="D15" i="12"/>
  <c r="C16" i="12"/>
  <c r="C17" i="12"/>
  <c r="B47" i="12" s="1"/>
  <c r="C18" i="12"/>
  <c r="D18" i="12"/>
  <c r="C19" i="12"/>
  <c r="D19" i="12" s="1"/>
  <c r="C20" i="12"/>
  <c r="B50" i="12" s="1"/>
  <c r="D20" i="12" s="1"/>
  <c r="C21" i="12"/>
  <c r="D21" i="12" s="1"/>
  <c r="C22" i="12"/>
  <c r="B52" i="12"/>
  <c r="D22" i="12" s="1"/>
  <c r="C23" i="12"/>
  <c r="B53" i="12" s="1"/>
  <c r="D23" i="12" s="1"/>
  <c r="C24" i="12"/>
  <c r="D24" i="12" s="1"/>
  <c r="C25" i="12"/>
  <c r="D25" i="12"/>
  <c r="C26" i="12"/>
  <c r="C27" i="12"/>
  <c r="D27" i="12" s="1"/>
  <c r="C28" i="12"/>
  <c r="D28" i="12"/>
  <c r="C29" i="12"/>
  <c r="B59" i="12" s="1"/>
  <c r="C30" i="12"/>
  <c r="B60" i="12" s="1"/>
  <c r="D30" i="12" s="1"/>
  <c r="C31" i="12"/>
  <c r="B61" i="12" s="1"/>
  <c r="C12" i="12"/>
  <c r="D12" i="12" s="1"/>
  <c r="G34" i="4"/>
  <c r="F34" i="4"/>
  <c r="C15" i="3"/>
  <c r="E15" i="3" s="1"/>
  <c r="G15" i="3" s="1"/>
  <c r="B51" i="11" s="1"/>
  <c r="C17" i="3"/>
  <c r="E17" i="3"/>
  <c r="G17" i="3" s="1"/>
  <c r="C18" i="3"/>
  <c r="E18" i="3" s="1"/>
  <c r="G18" i="3" s="1"/>
  <c r="B54" i="11" s="1"/>
  <c r="C19" i="3"/>
  <c r="E19" i="3" s="1"/>
  <c r="G19" i="3" s="1"/>
  <c r="B55" i="11" s="1"/>
  <c r="C20" i="3"/>
  <c r="F20" i="3" s="1"/>
  <c r="C21" i="3"/>
  <c r="E21" i="3"/>
  <c r="G21" i="3" s="1"/>
  <c r="C22" i="3"/>
  <c r="E22" i="3"/>
  <c r="G22" i="3"/>
  <c r="C23" i="3"/>
  <c r="E23" i="3" s="1"/>
  <c r="G23" i="3" s="1"/>
  <c r="B59" i="11" s="1"/>
  <c r="C24" i="3"/>
  <c r="E24" i="3" s="1"/>
  <c r="G24" i="3" s="1"/>
  <c r="B60" i="11" s="1"/>
  <c r="C25" i="3"/>
  <c r="E25" i="3"/>
  <c r="G25" i="3" s="1"/>
  <c r="B61" i="11" s="1"/>
  <c r="C26" i="3"/>
  <c r="E26" i="3" s="1"/>
  <c r="G26" i="3" s="1"/>
  <c r="C27" i="3"/>
  <c r="E27" i="3" s="1"/>
  <c r="G27" i="3" s="1"/>
  <c r="C28" i="3"/>
  <c r="F28" i="3" s="1"/>
  <c r="C29" i="3"/>
  <c r="E29" i="3"/>
  <c r="G29" i="3" s="1"/>
  <c r="B65" i="11" s="1"/>
  <c r="C30" i="3"/>
  <c r="E30" i="3"/>
  <c r="G30" i="3"/>
  <c r="C31" i="3"/>
  <c r="F31" i="3" s="1"/>
  <c r="C32" i="3"/>
  <c r="E32" i="3" s="1"/>
  <c r="G32" i="3" s="1"/>
  <c r="C33" i="3"/>
  <c r="F33" i="3" s="1"/>
  <c r="E33" i="3"/>
  <c r="G33" i="3" s="1"/>
  <c r="C50" i="11"/>
  <c r="F14" i="3"/>
  <c r="F17" i="3"/>
  <c r="F18" i="3"/>
  <c r="F19" i="3"/>
  <c r="F21" i="3"/>
  <c r="F22" i="3"/>
  <c r="F23" i="3"/>
  <c r="F25" i="3"/>
  <c r="F26" i="3"/>
  <c r="F29" i="3"/>
  <c r="F30" i="3"/>
  <c r="N48" i="11"/>
  <c r="N50" i="11"/>
  <c r="O50" i="11" s="1"/>
  <c r="N51" i="11"/>
  <c r="O51" i="11"/>
  <c r="N52" i="11"/>
  <c r="O52" i="11" s="1"/>
  <c r="N53" i="11"/>
  <c r="O53" i="11"/>
  <c r="N54" i="11"/>
  <c r="O54" i="11" s="1"/>
  <c r="G14" i="11" s="1"/>
  <c r="N55" i="11"/>
  <c r="O55" i="11"/>
  <c r="G15" i="11" s="1"/>
  <c r="N56" i="11"/>
  <c r="O56" i="11" s="1"/>
  <c r="G16" i="11" s="1"/>
  <c r="N57" i="11"/>
  <c r="O57" i="11"/>
  <c r="N58" i="11"/>
  <c r="O58" i="11" s="1"/>
  <c r="N59" i="11"/>
  <c r="O59" i="11"/>
  <c r="N60" i="11"/>
  <c r="O60" i="11" s="1"/>
  <c r="G20" i="11" s="1"/>
  <c r="N61" i="11"/>
  <c r="O61" i="11"/>
  <c r="N62" i="11"/>
  <c r="O62" i="11" s="1"/>
  <c r="G22" i="11" s="1"/>
  <c r="N63" i="11"/>
  <c r="O63" i="11"/>
  <c r="N64" i="11"/>
  <c r="O64" i="11" s="1"/>
  <c r="N65" i="11"/>
  <c r="O65" i="11"/>
  <c r="N66" i="11"/>
  <c r="N67" i="11"/>
  <c r="O67" i="11"/>
  <c r="G27" i="11" s="1"/>
  <c r="N68" i="11"/>
  <c r="O68" i="11" s="1"/>
  <c r="N69" i="11"/>
  <c r="O69" i="11"/>
  <c r="N70" i="11"/>
  <c r="J2" i="12"/>
  <c r="C3" i="12"/>
  <c r="H34" i="4"/>
  <c r="E34" i="4"/>
  <c r="D34" i="4"/>
  <c r="C34" i="4"/>
  <c r="C25" i="6"/>
  <c r="C24" i="6"/>
  <c r="C23" i="6"/>
  <c r="J46" i="4"/>
  <c r="I42" i="12"/>
  <c r="J42" i="12" s="1"/>
  <c r="I43" i="12"/>
  <c r="H13" i="12" s="1"/>
  <c r="J43" i="12"/>
  <c r="I44" i="12"/>
  <c r="H14" i="12" s="1"/>
  <c r="J44" i="12"/>
  <c r="I47" i="12"/>
  <c r="I48" i="12"/>
  <c r="I49" i="12"/>
  <c r="H19" i="12" s="1"/>
  <c r="J49" i="12"/>
  <c r="I50" i="12"/>
  <c r="J50" i="12"/>
  <c r="I51" i="12"/>
  <c r="I52" i="12"/>
  <c r="J52" i="12"/>
  <c r="I53" i="12"/>
  <c r="H23" i="12" s="1"/>
  <c r="I54" i="12"/>
  <c r="H24" i="12" s="1"/>
  <c r="J54" i="12"/>
  <c r="I55" i="12"/>
  <c r="I56" i="12"/>
  <c r="J56" i="12"/>
  <c r="I57" i="12"/>
  <c r="J57" i="12" s="1"/>
  <c r="I58" i="12"/>
  <c r="H28" i="12" s="1"/>
  <c r="J58" i="12"/>
  <c r="I59" i="12"/>
  <c r="I60" i="12"/>
  <c r="H30" i="12" s="1"/>
  <c r="J60" i="12"/>
  <c r="I61" i="12"/>
  <c r="I34" i="4"/>
  <c r="H61" i="12"/>
  <c r="C61" i="12"/>
  <c r="H60" i="12"/>
  <c r="C60" i="12"/>
  <c r="E30" i="12" s="1"/>
  <c r="H59" i="12"/>
  <c r="C59" i="12"/>
  <c r="H58" i="12"/>
  <c r="C58" i="12"/>
  <c r="B58" i="12"/>
  <c r="H57" i="12"/>
  <c r="C57" i="12"/>
  <c r="B57" i="12"/>
  <c r="H56" i="12"/>
  <c r="G26" i="12" s="1"/>
  <c r="C56" i="12"/>
  <c r="H55" i="12"/>
  <c r="C55" i="12"/>
  <c r="H54" i="12"/>
  <c r="C54" i="12"/>
  <c r="B54" i="12"/>
  <c r="H53" i="12"/>
  <c r="G23" i="12"/>
  <c r="C53" i="12"/>
  <c r="E23" i="12"/>
  <c r="H52" i="12"/>
  <c r="G22" i="12" s="1"/>
  <c r="C52" i="12"/>
  <c r="H51" i="12"/>
  <c r="C51" i="12"/>
  <c r="B51" i="12"/>
  <c r="H50" i="12"/>
  <c r="G20" i="12"/>
  <c r="C50" i="12"/>
  <c r="E20" i="12" s="1"/>
  <c r="H49" i="12"/>
  <c r="C49" i="12"/>
  <c r="H48" i="12"/>
  <c r="C48" i="12"/>
  <c r="H47" i="12"/>
  <c r="C47" i="12"/>
  <c r="H46" i="12"/>
  <c r="G16" i="12" s="1"/>
  <c r="C46" i="12"/>
  <c r="H45" i="12"/>
  <c r="G15" i="12"/>
  <c r="C45" i="12"/>
  <c r="E15" i="12" s="1"/>
  <c r="H44" i="12"/>
  <c r="C44" i="12"/>
  <c r="H43" i="12"/>
  <c r="C43" i="12"/>
  <c r="H42" i="12"/>
  <c r="C42" i="12"/>
  <c r="B42" i="12"/>
  <c r="I40" i="12"/>
  <c r="C40" i="12"/>
  <c r="B40" i="12"/>
  <c r="E12" i="12"/>
  <c r="E13" i="12"/>
  <c r="E14" i="12"/>
  <c r="E16" i="12"/>
  <c r="E17" i="12"/>
  <c r="E18" i="12"/>
  <c r="E19" i="12"/>
  <c r="E21" i="12"/>
  <c r="E22" i="12"/>
  <c r="E24" i="12"/>
  <c r="E25" i="12"/>
  <c r="E26" i="12"/>
  <c r="E27" i="12"/>
  <c r="E28" i="12"/>
  <c r="E29" i="12"/>
  <c r="E31" i="12"/>
  <c r="B30" i="8"/>
  <c r="B31" i="12" s="1"/>
  <c r="B14" i="8"/>
  <c r="B15" i="12"/>
  <c r="H10" i="12"/>
  <c r="J43" i="4" s="1"/>
  <c r="J44" i="4"/>
  <c r="F10" i="12"/>
  <c r="J42" i="4" s="1"/>
  <c r="J45" i="4"/>
  <c r="F17" i="6"/>
  <c r="C19" i="6"/>
  <c r="C18" i="6"/>
  <c r="C17" i="6"/>
  <c r="C11" i="6"/>
  <c r="I2" i="11"/>
  <c r="C2" i="11"/>
  <c r="S50" i="11"/>
  <c r="T50" i="11"/>
  <c r="H10" i="11"/>
  <c r="S51" i="11"/>
  <c r="S52" i="11"/>
  <c r="S53" i="11"/>
  <c r="T53" i="11"/>
  <c r="S54" i="11"/>
  <c r="S55" i="11"/>
  <c r="S56" i="11"/>
  <c r="T56" i="11"/>
  <c r="H16" i="11"/>
  <c r="S57" i="11"/>
  <c r="T57" i="11" s="1"/>
  <c r="H17" i="11" s="1"/>
  <c r="S58" i="11"/>
  <c r="T58" i="11" s="1"/>
  <c r="S59" i="11"/>
  <c r="T59" i="11"/>
  <c r="S60" i="11"/>
  <c r="S61" i="11"/>
  <c r="T61" i="11" s="1"/>
  <c r="S62" i="11"/>
  <c r="T62" i="11"/>
  <c r="H22" i="11"/>
  <c r="S63" i="11"/>
  <c r="S64" i="11"/>
  <c r="T64" i="11" s="1"/>
  <c r="S65" i="11"/>
  <c r="T65" i="11"/>
  <c r="H25" i="11"/>
  <c r="S66" i="11"/>
  <c r="S67" i="11"/>
  <c r="S68" i="11"/>
  <c r="T68" i="11"/>
  <c r="S69" i="11"/>
  <c r="G12" i="11"/>
  <c r="G17" i="11"/>
  <c r="G18" i="11"/>
  <c r="G24" i="11"/>
  <c r="G25" i="11"/>
  <c r="G29" i="11"/>
  <c r="H50" i="11"/>
  <c r="I50" i="11" s="1"/>
  <c r="H51" i="11"/>
  <c r="I51" i="11"/>
  <c r="F11" i="11" s="1"/>
  <c r="H52" i="11"/>
  <c r="I52" i="11"/>
  <c r="H53" i="11"/>
  <c r="I53" i="11"/>
  <c r="H54" i="11"/>
  <c r="I54" i="11" s="1"/>
  <c r="H55" i="11"/>
  <c r="H56" i="11"/>
  <c r="I56" i="11"/>
  <c r="H57" i="11"/>
  <c r="H58" i="11"/>
  <c r="I58" i="11" s="1"/>
  <c r="H59" i="11"/>
  <c r="I59" i="11"/>
  <c r="F19" i="11"/>
  <c r="H60" i="11"/>
  <c r="H61" i="11"/>
  <c r="H62" i="11"/>
  <c r="I62" i="11"/>
  <c r="H63" i="11"/>
  <c r="H64" i="11"/>
  <c r="H65" i="11"/>
  <c r="I65" i="11" s="1"/>
  <c r="H66" i="11"/>
  <c r="I66" i="11"/>
  <c r="H67" i="11"/>
  <c r="I67" i="11"/>
  <c r="F27" i="11" s="1"/>
  <c r="H68" i="11"/>
  <c r="I68" i="11"/>
  <c r="F28" i="11"/>
  <c r="H69" i="11"/>
  <c r="E50" i="11"/>
  <c r="E51" i="11"/>
  <c r="F51" i="11"/>
  <c r="E52" i="11"/>
  <c r="E53" i="11"/>
  <c r="F53" i="11" s="1"/>
  <c r="E54" i="11"/>
  <c r="F54" i="11"/>
  <c r="E14" i="11"/>
  <c r="E55" i="11"/>
  <c r="E56" i="11"/>
  <c r="F56" i="11" s="1"/>
  <c r="E16" i="11" s="1"/>
  <c r="E57" i="11"/>
  <c r="F57" i="11" s="1"/>
  <c r="E58" i="11"/>
  <c r="F58" i="11"/>
  <c r="E59" i="11"/>
  <c r="F59" i="11"/>
  <c r="E19" i="11" s="1"/>
  <c r="E60" i="11"/>
  <c r="E61" i="11"/>
  <c r="F61" i="11"/>
  <c r="E21" i="11"/>
  <c r="E62" i="11"/>
  <c r="F62" i="11" s="1"/>
  <c r="E22" i="11"/>
  <c r="E63" i="11"/>
  <c r="F63" i="11" s="1"/>
  <c r="E64" i="11"/>
  <c r="F64" i="11" s="1"/>
  <c r="E65" i="11"/>
  <c r="F65" i="11"/>
  <c r="E66" i="11"/>
  <c r="F66" i="11" s="1"/>
  <c r="E67" i="11"/>
  <c r="F67" i="11"/>
  <c r="E68" i="11"/>
  <c r="F68" i="11"/>
  <c r="E69" i="11"/>
  <c r="F69" i="11" s="1"/>
  <c r="B53" i="11"/>
  <c r="B57" i="11"/>
  <c r="B58" i="11"/>
  <c r="C59" i="11"/>
  <c r="D19" i="11"/>
  <c r="B62" i="11"/>
  <c r="B63" i="11"/>
  <c r="B66" i="11"/>
  <c r="C67" i="11"/>
  <c r="B68" i="11"/>
  <c r="B69" i="11"/>
  <c r="C69" i="11"/>
  <c r="C68" i="11"/>
  <c r="C66" i="11"/>
  <c r="C65" i="11"/>
  <c r="C64" i="11"/>
  <c r="C63" i="11"/>
  <c r="C62" i="11"/>
  <c r="C61" i="11"/>
  <c r="C60" i="11"/>
  <c r="D20" i="11" s="1"/>
  <c r="C58" i="11"/>
  <c r="C57" i="11"/>
  <c r="C56" i="11"/>
  <c r="C55" i="11"/>
  <c r="D15" i="11" s="1"/>
  <c r="C54" i="11"/>
  <c r="C53" i="11"/>
  <c r="C52" i="11"/>
  <c r="C51" i="11"/>
  <c r="S48" i="11"/>
  <c r="H48" i="11"/>
  <c r="E48" i="11"/>
  <c r="B48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B29" i="11"/>
  <c r="B29" i="8"/>
  <c r="B30" i="12"/>
  <c r="B28" i="11"/>
  <c r="B28" i="8"/>
  <c r="B29" i="12"/>
  <c r="B27" i="8"/>
  <c r="B26" i="9" s="1"/>
  <c r="B26" i="8"/>
  <c r="B25" i="11"/>
  <c r="B25" i="8"/>
  <c r="B24" i="8"/>
  <c r="B25" i="12" s="1"/>
  <c r="B23" i="8"/>
  <c r="B24" i="12" s="1"/>
  <c r="B22" i="8"/>
  <c r="B21" i="11"/>
  <c r="B21" i="8"/>
  <c r="B22" i="12"/>
  <c r="B20" i="11"/>
  <c r="B20" i="8"/>
  <c r="B21" i="12" s="1"/>
  <c r="B19" i="8"/>
  <c r="B20" i="12"/>
  <c r="B18" i="11"/>
  <c r="B18" i="8"/>
  <c r="B17" i="11"/>
  <c r="B17" i="8"/>
  <c r="B16" i="11" s="1"/>
  <c r="B18" i="12"/>
  <c r="B16" i="8"/>
  <c r="B17" i="12"/>
  <c r="B15" i="8"/>
  <c r="B16" i="12" s="1"/>
  <c r="B13" i="11"/>
  <c r="B13" i="8"/>
  <c r="B12" i="9" s="1"/>
  <c r="B14" i="12"/>
  <c r="B12" i="11"/>
  <c r="B12" i="8"/>
  <c r="B13" i="12"/>
  <c r="B11" i="8"/>
  <c r="M34" i="3"/>
  <c r="H9" i="11" s="1"/>
  <c r="G9" i="11"/>
  <c r="F9" i="11"/>
  <c r="M31" i="3"/>
  <c r="E9" i="11" s="1"/>
  <c r="D9" i="11"/>
  <c r="E2" i="4"/>
  <c r="G2" i="6"/>
  <c r="C2" i="6"/>
  <c r="H10" i="2"/>
  <c r="H11" i="2"/>
  <c r="C11" i="9"/>
  <c r="D11" i="9" s="1"/>
  <c r="H12" i="2"/>
  <c r="C12" i="9"/>
  <c r="J30" i="8"/>
  <c r="D12" i="9"/>
  <c r="E13" i="9"/>
  <c r="H13" i="2"/>
  <c r="C13" i="9"/>
  <c r="D13" i="9"/>
  <c r="H14" i="2"/>
  <c r="C14" i="9"/>
  <c r="D14" i="9" s="1"/>
  <c r="E15" i="9"/>
  <c r="H15" i="2"/>
  <c r="C15" i="9"/>
  <c r="D15" i="9"/>
  <c r="H16" i="2"/>
  <c r="C16" i="9"/>
  <c r="D16" i="9"/>
  <c r="H17" i="2"/>
  <c r="C17" i="9" s="1"/>
  <c r="H18" i="2"/>
  <c r="C18" i="9" s="1"/>
  <c r="D18" i="9" s="1"/>
  <c r="H19" i="2"/>
  <c r="C19" i="9"/>
  <c r="D19" i="9" s="1"/>
  <c r="H20" i="2"/>
  <c r="C20" i="9" s="1"/>
  <c r="D20" i="9" s="1"/>
  <c r="H21" i="2"/>
  <c r="C21" i="9" s="1"/>
  <c r="D21" i="9" s="1"/>
  <c r="H22" i="2"/>
  <c r="C22" i="9"/>
  <c r="D22" i="9"/>
  <c r="H23" i="2"/>
  <c r="C23" i="9"/>
  <c r="D23" i="9" s="1"/>
  <c r="H24" i="2"/>
  <c r="C24" i="9"/>
  <c r="D24" i="9" s="1"/>
  <c r="H25" i="2"/>
  <c r="C25" i="9"/>
  <c r="H26" i="2"/>
  <c r="C26" i="9"/>
  <c r="D26" i="9"/>
  <c r="H27" i="2"/>
  <c r="C27" i="9"/>
  <c r="H28" i="2"/>
  <c r="C28" i="9" s="1"/>
  <c r="D28" i="9"/>
  <c r="H29" i="2"/>
  <c r="C29" i="9"/>
  <c r="J10" i="8"/>
  <c r="D2" i="5"/>
  <c r="I2" i="5"/>
  <c r="N14" i="3"/>
  <c r="M47" i="3"/>
  <c r="M44" i="3"/>
  <c r="M43" i="3"/>
  <c r="M30" i="3"/>
  <c r="F3" i="3"/>
  <c r="C2" i="9"/>
  <c r="H1" i="9"/>
  <c r="U1" i="7"/>
  <c r="I2" i="7"/>
  <c r="B29" i="9"/>
  <c r="B33" i="4" s="1"/>
  <c r="B27" i="9"/>
  <c r="B31" i="4"/>
  <c r="B30" i="4"/>
  <c r="B21" i="9"/>
  <c r="B25" i="4" s="1"/>
  <c r="B18" i="9"/>
  <c r="B13" i="9"/>
  <c r="B17" i="4"/>
  <c r="B11" i="9"/>
  <c r="B15" i="4"/>
  <c r="B10" i="9"/>
  <c r="B14" i="4"/>
  <c r="E2" i="8"/>
  <c r="J2" i="8"/>
  <c r="I10" i="8"/>
  <c r="D2" i="2"/>
  <c r="M13" i="4"/>
  <c r="I34" i="3"/>
  <c r="J34" i="3"/>
  <c r="M46" i="3"/>
  <c r="M45" i="3"/>
  <c r="M33" i="3"/>
  <c r="M32" i="3"/>
  <c r="B19" i="3"/>
  <c r="D34" i="3"/>
  <c r="H34" i="3"/>
  <c r="K34" i="3"/>
  <c r="C28" i="2"/>
  <c r="C29" i="2"/>
  <c r="E30" i="2"/>
  <c r="F12" i="6" s="1"/>
  <c r="F30" i="2"/>
  <c r="F13" i="6" s="1"/>
  <c r="G30" i="2"/>
  <c r="F14" i="6" s="1"/>
  <c r="D30" i="2"/>
  <c r="F11" i="6" s="1"/>
  <c r="C26" i="2"/>
  <c r="C10" i="2"/>
  <c r="C11" i="2"/>
  <c r="C12" i="2"/>
  <c r="C13" i="2"/>
  <c r="C14" i="2"/>
  <c r="C30" i="2" s="1"/>
  <c r="C15" i="2"/>
  <c r="C16" i="2"/>
  <c r="C17" i="2"/>
  <c r="C18" i="2"/>
  <c r="C19" i="2"/>
  <c r="C20" i="2"/>
  <c r="C21" i="2"/>
  <c r="C22" i="2"/>
  <c r="C23" i="2"/>
  <c r="C24" i="2"/>
  <c r="C25" i="2"/>
  <c r="C27" i="2"/>
  <c r="B30" i="3"/>
  <c r="B31" i="3"/>
  <c r="B32" i="3"/>
  <c r="B33" i="3"/>
  <c r="B34" i="4"/>
  <c r="B15" i="3"/>
  <c r="B16" i="3"/>
  <c r="B17" i="3"/>
  <c r="B18" i="3"/>
  <c r="B20" i="3"/>
  <c r="B21" i="3"/>
  <c r="B22" i="3"/>
  <c r="B23" i="3"/>
  <c r="B24" i="3"/>
  <c r="B25" i="3"/>
  <c r="B26" i="3"/>
  <c r="B27" i="3"/>
  <c r="B28" i="3"/>
  <c r="B29" i="3"/>
  <c r="B14" i="3"/>
  <c r="B22" i="4"/>
  <c r="L2" i="4"/>
  <c r="N2" i="3"/>
  <c r="H2" i="2"/>
  <c r="I16" i="5"/>
  <c r="N13" i="3"/>
  <c r="G23" i="11"/>
  <c r="C34" i="3"/>
  <c r="B15" i="9"/>
  <c r="B19" i="4"/>
  <c r="B23" i="12"/>
  <c r="B14" i="9"/>
  <c r="B18" i="4" s="1"/>
  <c r="B25" i="9"/>
  <c r="B29" i="4"/>
  <c r="B19" i="12"/>
  <c r="B17" i="9"/>
  <c r="B21" i="4"/>
  <c r="B22" i="11"/>
  <c r="B27" i="12"/>
  <c r="B16" i="4"/>
  <c r="B20" i="9"/>
  <c r="B24" i="4"/>
  <c r="B28" i="9"/>
  <c r="B32" i="4"/>
  <c r="B11" i="11"/>
  <c r="B15" i="11"/>
  <c r="B27" i="11"/>
  <c r="B44" i="12"/>
  <c r="B48" i="12"/>
  <c r="H22" i="12"/>
  <c r="D13" i="11"/>
  <c r="G13" i="11"/>
  <c r="D29" i="9"/>
  <c r="D27" i="9"/>
  <c r="D25" i="9"/>
  <c r="D17" i="9"/>
  <c r="J53" i="12"/>
  <c r="F20" i="12"/>
  <c r="F23" i="12"/>
  <c r="F16" i="12"/>
  <c r="E32" i="12"/>
  <c r="L46" i="4" s="1"/>
  <c r="B43" i="12"/>
  <c r="B55" i="12"/>
  <c r="F13" i="12"/>
  <c r="B49" i="12"/>
  <c r="J51" i="12"/>
  <c r="F30" i="12"/>
  <c r="F15" i="12"/>
  <c r="F29" i="12"/>
  <c r="F22" i="12"/>
  <c r="H26" i="12"/>
  <c r="F25" i="12"/>
  <c r="F19" i="12"/>
  <c r="I62" i="12"/>
  <c r="C32" i="12"/>
  <c r="F28" i="12"/>
  <c r="F14" i="12"/>
  <c r="H20" i="12"/>
  <c r="D14" i="11"/>
  <c r="D26" i="11"/>
  <c r="D29" i="11"/>
  <c r="D25" i="11"/>
  <c r="D21" i="11"/>
  <c r="D17" i="11"/>
  <c r="D18" i="11"/>
  <c r="E28" i="11"/>
  <c r="C30" i="11"/>
  <c r="D28" i="11"/>
  <c r="F60" i="11"/>
  <c r="E20" i="11"/>
  <c r="H28" i="11"/>
  <c r="E11" i="11"/>
  <c r="T60" i="11"/>
  <c r="H20" i="11" s="1"/>
  <c r="D23" i="11"/>
  <c r="D11" i="11"/>
  <c r="F22" i="11"/>
  <c r="F16" i="11"/>
  <c r="F13" i="11"/>
  <c r="H13" i="11"/>
  <c r="G19" i="11"/>
  <c r="E25" i="11"/>
  <c r="D22" i="11"/>
  <c r="F55" i="11"/>
  <c r="E15" i="11"/>
  <c r="G11" i="11"/>
  <c r="H21" i="11"/>
  <c r="G21" i="11"/>
  <c r="G28" i="11"/>
  <c r="E70" i="11"/>
  <c r="F12" i="11"/>
  <c r="E29" i="11"/>
  <c r="G10" i="11"/>
  <c r="H24" i="11"/>
  <c r="F10" i="11"/>
  <c r="F14" i="11"/>
  <c r="G28" i="7" l="1"/>
  <c r="H29" i="7" s="1"/>
  <c r="I30" i="7" s="1"/>
  <c r="J31" i="7" s="1"/>
  <c r="K32" i="7" s="1"/>
  <c r="L33" i="7" s="1"/>
  <c r="M34" i="7" s="1"/>
  <c r="N35" i="7" s="1"/>
  <c r="O36" i="7" s="1"/>
  <c r="P37" i="7" s="1"/>
  <c r="B26" i="12"/>
  <c r="B24" i="11"/>
  <c r="E27" i="11"/>
  <c r="E18" i="11"/>
  <c r="F17" i="11"/>
  <c r="I57" i="11"/>
  <c r="E56" i="12"/>
  <c r="F26" i="12"/>
  <c r="E48" i="12"/>
  <c r="F18" i="12" s="1"/>
  <c r="G18" i="7"/>
  <c r="I12" i="7"/>
  <c r="K13" i="7" s="1"/>
  <c r="M14" i="7" s="1"/>
  <c r="O15" i="7" s="1"/>
  <c r="F52" i="11"/>
  <c r="E12" i="11" s="1"/>
  <c r="T55" i="11"/>
  <c r="H15" i="11" s="1"/>
  <c r="I18" i="7"/>
  <c r="K12" i="7"/>
  <c r="M13" i="7" s="1"/>
  <c r="O14" i="7" s="1"/>
  <c r="Q15" i="7" s="1"/>
  <c r="I28" i="7"/>
  <c r="J29" i="7" s="1"/>
  <c r="K30" i="7" s="1"/>
  <c r="L31" i="7" s="1"/>
  <c r="M32" i="7" s="1"/>
  <c r="N33" i="7" s="1"/>
  <c r="O34" i="7" s="1"/>
  <c r="P35" i="7" s="1"/>
  <c r="Q36" i="7" s="1"/>
  <c r="R37" i="7" s="1"/>
  <c r="H38" i="7"/>
  <c r="M15" i="7"/>
  <c r="S70" i="11"/>
  <c r="C10" i="9"/>
  <c r="H30" i="2"/>
  <c r="B70" i="11"/>
  <c r="E13" i="11"/>
  <c r="B24" i="9"/>
  <c r="B28" i="4" s="1"/>
  <c r="B14" i="11"/>
  <c r="F13" i="9"/>
  <c r="I61" i="11"/>
  <c r="F21" i="11"/>
  <c r="T69" i="11"/>
  <c r="H29" i="11" s="1"/>
  <c r="H19" i="11"/>
  <c r="H14" i="11"/>
  <c r="T54" i="11"/>
  <c r="E51" i="12"/>
  <c r="F21" i="12"/>
  <c r="E47" i="12"/>
  <c r="F17" i="12" s="1"/>
  <c r="L29" i="7"/>
  <c r="M30" i="7" s="1"/>
  <c r="N31" i="7" s="1"/>
  <c r="O32" i="7" s="1"/>
  <c r="P33" i="7" s="1"/>
  <c r="Q34" i="7" s="1"/>
  <c r="R35" i="7" s="1"/>
  <c r="S36" i="7" s="1"/>
  <c r="T37" i="7" s="1"/>
  <c r="I63" i="11"/>
  <c r="F23" i="11" s="1"/>
  <c r="B19" i="9"/>
  <c r="B23" i="4" s="1"/>
  <c r="B26" i="11"/>
  <c r="I60" i="11"/>
  <c r="F20" i="11" s="1"/>
  <c r="I55" i="11"/>
  <c r="F15" i="11"/>
  <c r="T63" i="11"/>
  <c r="H23" i="11" s="1"/>
  <c r="K29" i="7"/>
  <c r="L30" i="7" s="1"/>
  <c r="M31" i="7" s="1"/>
  <c r="N32" i="7" s="1"/>
  <c r="O33" i="7" s="1"/>
  <c r="P34" i="7" s="1"/>
  <c r="Q35" i="7" s="1"/>
  <c r="R36" i="7" s="1"/>
  <c r="S37" i="7" s="1"/>
  <c r="B23" i="11"/>
  <c r="F15" i="9"/>
  <c r="F18" i="11"/>
  <c r="E34" i="3"/>
  <c r="B19" i="11"/>
  <c r="B22" i="9"/>
  <c r="B26" i="4" s="1"/>
  <c r="B12" i="12"/>
  <c r="B10" i="11"/>
  <c r="B28" i="12"/>
  <c r="F50" i="11"/>
  <c r="E10" i="11"/>
  <c r="F26" i="11"/>
  <c r="H21" i="12"/>
  <c r="E54" i="12"/>
  <c r="F24" i="12"/>
  <c r="E42" i="12"/>
  <c r="F12" i="12" s="1"/>
  <c r="D62" i="12"/>
  <c r="P13" i="7"/>
  <c r="D19" i="7"/>
  <c r="E24" i="11"/>
  <c r="I69" i="11"/>
  <c r="F29" i="11" s="1"/>
  <c r="T67" i="11"/>
  <c r="H27" i="11"/>
  <c r="T52" i="11"/>
  <c r="H12" i="11"/>
  <c r="M18" i="7"/>
  <c r="O13" i="7"/>
  <c r="K18" i="7"/>
  <c r="H70" i="11"/>
  <c r="G34" i="3"/>
  <c r="B16" i="9"/>
  <c r="B20" i="4" s="1"/>
  <c r="B23" i="9"/>
  <c r="B27" i="4" s="1"/>
  <c r="I64" i="11"/>
  <c r="F24" i="11" s="1"/>
  <c r="T66" i="11"/>
  <c r="H26" i="11" s="1"/>
  <c r="E61" i="12"/>
  <c r="F31" i="12" s="1"/>
  <c r="E57" i="12"/>
  <c r="F27" i="12" s="1"/>
  <c r="T51" i="11"/>
  <c r="H11" i="11" s="1"/>
  <c r="J59" i="12"/>
  <c r="H29" i="12" s="1"/>
  <c r="J55" i="12"/>
  <c r="H25" i="12" s="1"/>
  <c r="O66" i="11"/>
  <c r="G26" i="11" s="1"/>
  <c r="G30" i="11" s="1"/>
  <c r="N46" i="3" s="1"/>
  <c r="F27" i="3"/>
  <c r="E31" i="3"/>
  <c r="G31" i="3" s="1"/>
  <c r="B67" i="11" s="1"/>
  <c r="D27" i="11" s="1"/>
  <c r="B56" i="12"/>
  <c r="D26" i="12" s="1"/>
  <c r="B46" i="12"/>
  <c r="D16" i="12" s="1"/>
  <c r="E16" i="3"/>
  <c r="G16" i="3" s="1"/>
  <c r="B52" i="11" s="1"/>
  <c r="D12" i="11" s="1"/>
  <c r="D30" i="11" s="1"/>
  <c r="F29" i="7"/>
  <c r="G30" i="7" s="1"/>
  <c r="H31" i="7" s="1"/>
  <c r="I32" i="7" s="1"/>
  <c r="J33" i="7" s="1"/>
  <c r="K34" i="7" s="1"/>
  <c r="L35" i="7" s="1"/>
  <c r="M36" i="7" s="1"/>
  <c r="N37" i="7" s="1"/>
  <c r="J13" i="7"/>
  <c r="H11" i="7"/>
  <c r="F17" i="5"/>
  <c r="F18" i="5" s="1"/>
  <c r="I12" i="5" s="1"/>
  <c r="E28" i="3"/>
  <c r="G28" i="3" s="1"/>
  <c r="B64" i="11" s="1"/>
  <c r="D24" i="11" s="1"/>
  <c r="E20" i="3"/>
  <c r="G20" i="3" s="1"/>
  <c r="B56" i="11" s="1"/>
  <c r="D16" i="11" s="1"/>
  <c r="D29" i="12"/>
  <c r="H27" i="12"/>
  <c r="G38" i="7"/>
  <c r="H12" i="12"/>
  <c r="M28" i="7"/>
  <c r="I38" i="7"/>
  <c r="E18" i="7"/>
  <c r="E26" i="11"/>
  <c r="E23" i="11"/>
  <c r="E17" i="11"/>
  <c r="F25" i="11"/>
  <c r="H18" i="11"/>
  <c r="F32" i="3"/>
  <c r="F24" i="3"/>
  <c r="F15" i="3"/>
  <c r="D31" i="12"/>
  <c r="H16" i="12"/>
  <c r="J61" i="12"/>
  <c r="H31" i="12" s="1"/>
  <c r="J48" i="12"/>
  <c r="H18" i="12" s="1"/>
  <c r="D17" i="12"/>
  <c r="H15" i="12"/>
  <c r="C19" i="7"/>
  <c r="J47" i="12"/>
  <c r="H17" i="12" s="1"/>
  <c r="F30" i="11" l="1"/>
  <c r="N45" i="3" s="1"/>
  <c r="F18" i="6"/>
  <c r="N43" i="3"/>
  <c r="H30" i="11"/>
  <c r="N47" i="3" s="1"/>
  <c r="D32" i="12"/>
  <c r="L45" i="4" s="1"/>
  <c r="C30" i="9"/>
  <c r="D10" i="9"/>
  <c r="D30" i="9" s="1"/>
  <c r="H18" i="7"/>
  <c r="J12" i="7"/>
  <c r="L14" i="7"/>
  <c r="F32" i="12"/>
  <c r="L42" i="4" s="1"/>
  <c r="F19" i="7"/>
  <c r="G19" i="7"/>
  <c r="F38" i="7"/>
  <c r="G39" i="7" s="1"/>
  <c r="R14" i="7"/>
  <c r="F34" i="3"/>
  <c r="O18" i="7"/>
  <c r="Q14" i="7"/>
  <c r="E19" i="7"/>
  <c r="E30" i="11"/>
  <c r="K38" i="7"/>
  <c r="K39" i="7" s="1"/>
  <c r="L38" i="7"/>
  <c r="L39" i="7" s="1"/>
  <c r="H32" i="12"/>
  <c r="L43" i="4" s="1"/>
  <c r="N29" i="7"/>
  <c r="M38" i="7"/>
  <c r="J38" i="7"/>
  <c r="J39" i="7" s="1"/>
  <c r="I14" i="5"/>
  <c r="I39" i="7" l="1"/>
  <c r="T15" i="7"/>
  <c r="R18" i="7"/>
  <c r="F19" i="6"/>
  <c r="N44" i="3"/>
  <c r="N15" i="3" s="1"/>
  <c r="N16" i="3" s="1"/>
  <c r="F16" i="6" s="1"/>
  <c r="M39" i="7"/>
  <c r="N15" i="7"/>
  <c r="N38" i="7"/>
  <c r="N39" i="7" s="1"/>
  <c r="O30" i="7"/>
  <c r="F39" i="7"/>
  <c r="J18" i="7"/>
  <c r="L13" i="7"/>
  <c r="Q18" i="7"/>
  <c r="S15" i="7"/>
  <c r="I19" i="7"/>
  <c r="H39" i="7"/>
  <c r="H19" i="7"/>
  <c r="O38" i="7" l="1"/>
  <c r="P31" i="7"/>
  <c r="S18" i="7"/>
  <c r="T18" i="7"/>
  <c r="T19" i="7"/>
  <c r="N14" i="7"/>
  <c r="L18" i="7"/>
  <c r="L19" i="7" s="1"/>
  <c r="K19" i="7"/>
  <c r="J19" i="7"/>
  <c r="M19" i="7"/>
  <c r="P15" i="7" l="1"/>
  <c r="N18" i="7"/>
  <c r="P38" i="7"/>
  <c r="P39" i="7" s="1"/>
  <c r="Q32" i="7"/>
  <c r="O39" i="7"/>
  <c r="N19" i="7" l="1"/>
  <c r="O19" i="7"/>
  <c r="Q38" i="7"/>
  <c r="R33" i="7"/>
  <c r="P18" i="7"/>
  <c r="R19" i="7" s="1"/>
  <c r="R38" i="7" l="1"/>
  <c r="R39" i="7" s="1"/>
  <c r="S34" i="7"/>
  <c r="P19" i="7"/>
  <c r="Q39" i="7"/>
  <c r="S19" i="7"/>
  <c r="C20" i="7" s="1"/>
  <c r="I13" i="1" s="1"/>
  <c r="Q19" i="7"/>
  <c r="I15" i="5" l="1"/>
  <c r="M14" i="4"/>
  <c r="J12" i="8"/>
  <c r="S38" i="7"/>
  <c r="S39" i="7" s="1"/>
  <c r="T35" i="7"/>
  <c r="T38" i="7" s="1"/>
  <c r="T39" i="7" l="1"/>
  <c r="U39" i="7"/>
  <c r="E25" i="9"/>
  <c r="F25" i="9" s="1"/>
  <c r="E21" i="9"/>
  <c r="F21" i="9" s="1"/>
  <c r="E27" i="9"/>
  <c r="F27" i="9" s="1"/>
  <c r="E17" i="9"/>
  <c r="F17" i="9" s="1"/>
  <c r="E10" i="9"/>
  <c r="E11" i="9"/>
  <c r="F11" i="9" s="1"/>
  <c r="E18" i="9"/>
  <c r="F18" i="9" s="1"/>
  <c r="E24" i="9"/>
  <c r="F24" i="9" s="1"/>
  <c r="E23" i="9"/>
  <c r="F23" i="9" s="1"/>
  <c r="E20" i="9"/>
  <c r="F20" i="9" s="1"/>
  <c r="E12" i="9"/>
  <c r="F12" i="9" s="1"/>
  <c r="E28" i="9"/>
  <c r="F28" i="9" s="1"/>
  <c r="E26" i="9"/>
  <c r="F26" i="9" s="1"/>
  <c r="E16" i="9"/>
  <c r="F16" i="9" s="1"/>
  <c r="E14" i="9"/>
  <c r="F14" i="9" s="1"/>
  <c r="E22" i="9"/>
  <c r="F22" i="9" s="1"/>
  <c r="E29" i="9"/>
  <c r="F29" i="9" s="1"/>
  <c r="E19" i="9"/>
  <c r="F19" i="9" s="1"/>
  <c r="G28" i="12"/>
  <c r="G17" i="12"/>
  <c r="G29" i="12"/>
  <c r="G21" i="12"/>
  <c r="G27" i="12"/>
  <c r="G30" i="12"/>
  <c r="G18" i="12"/>
  <c r="G12" i="12"/>
  <c r="G25" i="12"/>
  <c r="G31" i="12"/>
  <c r="G14" i="12"/>
  <c r="G19" i="12"/>
  <c r="G13" i="12"/>
  <c r="G24" i="12"/>
  <c r="F26" i="6"/>
  <c r="F25" i="6"/>
  <c r="F24" i="6"/>
  <c r="F27" i="6"/>
  <c r="F23" i="6"/>
  <c r="I17" i="5"/>
  <c r="F22" i="6" s="1"/>
  <c r="E30" i="9" l="1"/>
  <c r="F10" i="9"/>
  <c r="F30" i="9" s="1"/>
  <c r="J13" i="8" s="1"/>
  <c r="G32" i="12"/>
  <c r="L44" i="4" s="1"/>
  <c r="M15" i="4" l="1"/>
  <c r="M18" i="4"/>
  <c r="C22" i="6" s="1"/>
  <c r="J14" i="8"/>
  <c r="J17" i="8" s="1"/>
  <c r="C16" i="6" s="1"/>
  <c r="J16" i="8"/>
  <c r="C27" i="6" l="1"/>
</calcChain>
</file>

<file path=xl/comments1.xml><?xml version="1.0" encoding="utf-8"?>
<comments xmlns="http://schemas.openxmlformats.org/spreadsheetml/2006/main">
  <authors>
    <author>SG 1.2</author>
  </authors>
  <commentList>
    <comment ref="E1" authorId="0" shapeId="0">
      <text>
        <r>
          <rPr>
            <b/>
            <sz val="8"/>
            <color indexed="81"/>
            <rFont val="Tahoma"/>
            <family val="2"/>
          </rPr>
          <t xml:space="preserve">
Besoldung = ohne Zukunftsicherung
Entgelt = mit AG-Anteilen</t>
        </r>
      </text>
    </comment>
    <comment ref="A33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Vollzeit = 19 Wochenstunden</t>
        </r>
      </text>
    </comment>
  </commentList>
</comments>
</file>

<file path=xl/sharedStrings.xml><?xml version="1.0" encoding="utf-8"?>
<sst xmlns="http://schemas.openxmlformats.org/spreadsheetml/2006/main" count="438" uniqueCount="276">
  <si>
    <t>WS 1</t>
  </si>
  <si>
    <t>WS2</t>
  </si>
  <si>
    <t>WS 3</t>
  </si>
  <si>
    <t>WS 4</t>
  </si>
  <si>
    <t>WS 5</t>
  </si>
  <si>
    <t>WS 6</t>
  </si>
  <si>
    <t>WS 7</t>
  </si>
  <si>
    <t>WS 8</t>
  </si>
  <si>
    <t>Studenten/Semester</t>
  </si>
  <si>
    <t>Summe</t>
  </si>
  <si>
    <t>Durchschn. t(1) bis t(Sem)</t>
  </si>
  <si>
    <t>Semester (Sem)</t>
  </si>
  <si>
    <t>Mittelwert:</t>
  </si>
  <si>
    <t>Fach</t>
  </si>
  <si>
    <t>Werkverträge</t>
  </si>
  <si>
    <t>Stunden</t>
  </si>
  <si>
    <t>Euro/Stunde</t>
  </si>
  <si>
    <t>Kosten</t>
  </si>
  <si>
    <t>TV-L 9</t>
  </si>
  <si>
    <t>TV-L 10</t>
  </si>
  <si>
    <t>Druck- &amp; Versandkosten</t>
  </si>
  <si>
    <t>Semesteranzahl/Studium:</t>
  </si>
  <si>
    <t>Akkreditierungskosten</t>
  </si>
  <si>
    <t>Studienbrief notwendig</t>
  </si>
  <si>
    <t>(ja/nein)</t>
  </si>
  <si>
    <t>wenn ja:</t>
  </si>
  <si>
    <t>neu erstellen</t>
  </si>
  <si>
    <t>vorhandenen verwenden</t>
  </si>
  <si>
    <t>SS 1</t>
  </si>
  <si>
    <t>SS 2</t>
  </si>
  <si>
    <t>SS 3</t>
  </si>
  <si>
    <t>SS 4</t>
  </si>
  <si>
    <t>SS 5</t>
  </si>
  <si>
    <t>Stand</t>
  </si>
  <si>
    <t>x</t>
  </si>
  <si>
    <t>ja</t>
  </si>
  <si>
    <t>nein</t>
  </si>
  <si>
    <t xml:space="preserve">Der Vergütungssatz für eine SWS: </t>
  </si>
  <si>
    <t xml:space="preserve">Vergütungssatz pro 0,7 SWS : </t>
  </si>
  <si>
    <t>Tätigkeit</t>
  </si>
  <si>
    <t>Gesamtkosten</t>
  </si>
  <si>
    <t>Hausarbeit</t>
  </si>
  <si>
    <t>Kosten pro Semester je Student</t>
  </si>
  <si>
    <t>Institut für Verbundstudien</t>
  </si>
  <si>
    <t>VZÄ</t>
  </si>
  <si>
    <t>Entgeltgruppe</t>
  </si>
  <si>
    <t>Hochschulverwaltung</t>
  </si>
  <si>
    <t>Studierenden-Servicebüro</t>
  </si>
  <si>
    <t>Gesamt</t>
  </si>
  <si>
    <t>Gemeinkosten pro Semester und je Student</t>
  </si>
  <si>
    <t>Summe Studienbriefe</t>
  </si>
  <si>
    <t>überarbeiten (in %)</t>
  </si>
  <si>
    <t>Druck- &amp; Versandkosten (pro Studienbrief):</t>
  </si>
  <si>
    <t>Zeit/Prüfung</t>
  </si>
  <si>
    <t>Kosten/Student</t>
  </si>
  <si>
    <t>Fächer</t>
  </si>
  <si>
    <t>SS 6</t>
  </si>
  <si>
    <t>Fächer (20 Module)</t>
  </si>
  <si>
    <t>WS 1/ SS 1</t>
  </si>
  <si>
    <t>WS 2/ SS 2</t>
  </si>
  <si>
    <t>WS 3/ SS 3</t>
  </si>
  <si>
    <t>WS 4/ SS 4</t>
  </si>
  <si>
    <t>WS 5/ SS 5</t>
  </si>
  <si>
    <t>WS 6/ SS 6</t>
  </si>
  <si>
    <t>Vorlesung</t>
  </si>
  <si>
    <t>Übung</t>
  </si>
  <si>
    <t>Praktikum</t>
  </si>
  <si>
    <t>Seminar</t>
  </si>
  <si>
    <t>(in SWS)</t>
  </si>
  <si>
    <t>Summe der SWS</t>
  </si>
  <si>
    <t>pro Fach</t>
  </si>
  <si>
    <t>mündliche Prüfung</t>
  </si>
  <si>
    <t>Klausur</t>
  </si>
  <si>
    <t>wenn nein:</t>
  </si>
  <si>
    <t>Investition (Bücher)</t>
  </si>
  <si>
    <t>(in Minuten)</t>
  </si>
  <si>
    <t>Klausurdauer</t>
  </si>
  <si>
    <t>SWS/ Studienbrief</t>
  </si>
  <si>
    <t>(V + 1/2 Ü)</t>
  </si>
  <si>
    <t>Investition (Bücher pro Student)</t>
  </si>
  <si>
    <t>Aufnahmekapazität pro Hochschule</t>
  </si>
  <si>
    <t>Kalkulation eines weiterbildenden Verbundstudienganges</t>
  </si>
  <si>
    <t>1 Mathematik</t>
  </si>
  <si>
    <t>2 Mechanik</t>
  </si>
  <si>
    <t>3 Konstruktionstechnik</t>
  </si>
  <si>
    <t>4 Einführung in die Programmierung</t>
  </si>
  <si>
    <t>5 Werkstoffkunde</t>
  </si>
  <si>
    <t>6</t>
  </si>
  <si>
    <t>Anzahl Studierende/ Kohorte:</t>
  </si>
  <si>
    <t>Min/ Klausur</t>
  </si>
  <si>
    <t>Euro/Studierenden</t>
  </si>
  <si>
    <t>Anzahl der beteiligten Hochschulen:</t>
  </si>
  <si>
    <t>Summe Studienbriefe bei mehreren HS</t>
  </si>
  <si>
    <t>Kosten pro Semester je Student bei mehreren HS</t>
  </si>
  <si>
    <t>Regelstudienzeit (in Semester):</t>
  </si>
  <si>
    <t>Studienumfang (in ECTS):</t>
  </si>
  <si>
    <t>Abschlussquote nach Regelstudienzeit (in %)</t>
  </si>
  <si>
    <t>Datenquelle für Steuerelement "Immatrikulation"</t>
  </si>
  <si>
    <t>Vergütungssätze</t>
  </si>
  <si>
    <t>Nutzungsdauer der Studienbriefe (in Semester)</t>
  </si>
  <si>
    <t>Verrechnungsquote (in SWS)</t>
  </si>
  <si>
    <t>Kosten der Studienbriefe</t>
  </si>
  <si>
    <t xml:space="preserve">Summe                                          </t>
  </si>
  <si>
    <r>
      <t xml:space="preserve">1.2.1 Immatrikulation </t>
    </r>
    <r>
      <rPr>
        <b/>
        <u/>
        <sz val="10"/>
        <color theme="1"/>
        <rFont val="Calibri"/>
        <family val="2"/>
        <scheme val="minor"/>
      </rPr>
      <t>nur</t>
    </r>
    <r>
      <rPr>
        <b/>
        <sz val="10"/>
        <color theme="1"/>
        <rFont val="Calibri"/>
        <family val="2"/>
        <scheme val="minor"/>
      </rPr>
      <t xml:space="preserve"> im Winter- oder Sommersemester </t>
    </r>
  </si>
  <si>
    <r>
      <t>1.2.2 Immatrikulation im Winter-</t>
    </r>
    <r>
      <rPr>
        <b/>
        <u/>
        <sz val="10"/>
        <color theme="1"/>
        <rFont val="Calibri"/>
        <family val="2"/>
        <scheme val="minor"/>
      </rPr>
      <t xml:space="preserve"> und </t>
    </r>
    <r>
      <rPr>
        <b/>
        <sz val="10"/>
        <color theme="1"/>
        <rFont val="Calibri"/>
        <family val="2"/>
        <scheme val="minor"/>
      </rPr>
      <t>Sommersemester</t>
    </r>
  </si>
  <si>
    <t>Ergebniszellen</t>
  </si>
  <si>
    <t>Eingabezellen</t>
  </si>
  <si>
    <t>Stand:</t>
  </si>
  <si>
    <t>4. Kosten für Präsenzveranstaltungen</t>
  </si>
  <si>
    <t>Präsenzveranstaltungen</t>
  </si>
  <si>
    <t>Gesamt-SWS</t>
  </si>
  <si>
    <t>Gruppen/ Veranstaltung</t>
  </si>
  <si>
    <r>
      <t xml:space="preserve">SWS/ Präsenz </t>
    </r>
    <r>
      <rPr>
        <sz val="6"/>
        <color theme="1"/>
        <rFont val="Calibri"/>
        <family val="2"/>
        <scheme val="minor"/>
      </rPr>
      <t>(1/2 Ü + P + 1/2 S)</t>
    </r>
  </si>
  <si>
    <t>zusätzliche Präsenzveranstaltungen</t>
  </si>
  <si>
    <t>Veranstaltungsart</t>
  </si>
  <si>
    <t xml:space="preserve">Nebenberechnung </t>
  </si>
  <si>
    <t>Ausblenden !!</t>
  </si>
  <si>
    <t>Berechnung der Kosten für Präsenzveranstaltungen</t>
  </si>
  <si>
    <t xml:space="preserve">Anzahl der Gruppen </t>
  </si>
  <si>
    <t>5. Prüfungskosten</t>
  </si>
  <si>
    <t>Studienverlaufsplan Prüfungen</t>
  </si>
  <si>
    <t>E 15</t>
  </si>
  <si>
    <t>E 14</t>
  </si>
  <si>
    <t>E 13Ü</t>
  </si>
  <si>
    <t>E 13</t>
  </si>
  <si>
    <t>E 12</t>
  </si>
  <si>
    <t>E 11</t>
  </si>
  <si>
    <t>E 10</t>
  </si>
  <si>
    <t>E 8</t>
  </si>
  <si>
    <t>E 7</t>
  </si>
  <si>
    <t>E 6</t>
  </si>
  <si>
    <t>E 5</t>
  </si>
  <si>
    <t>E 4</t>
  </si>
  <si>
    <t>Berechnung der Prüfungskosten</t>
  </si>
  <si>
    <t>Ausblenden!!!</t>
  </si>
  <si>
    <t>Summe der Prüfungskosten</t>
  </si>
  <si>
    <t>Gesamtkosten Präzenz</t>
  </si>
  <si>
    <t>Gesamtkosten Studienbriefe</t>
  </si>
  <si>
    <t>Gesamtkosten Prüfungen</t>
  </si>
  <si>
    <t xml:space="preserve">6. Gemeinkosten </t>
  </si>
  <si>
    <t>Personalkosten</t>
  </si>
  <si>
    <t>Sonstige Kosten</t>
  </si>
  <si>
    <t>Zentraler Overhead</t>
  </si>
  <si>
    <t>Summe Personalkosten</t>
  </si>
  <si>
    <t>Ausblenden !!!</t>
  </si>
  <si>
    <t>Fachbereichssekretariat</t>
  </si>
  <si>
    <t>Summe Sonstige Kosten</t>
  </si>
  <si>
    <t>wissenschaftlicher MA</t>
  </si>
  <si>
    <t>Mietkosten</t>
  </si>
  <si>
    <t>€/Semester</t>
  </si>
  <si>
    <t>Bereich</t>
  </si>
  <si>
    <t>Gesamtkosten Gemeinkosten</t>
  </si>
  <si>
    <t>Name des weiterbildenden Verbundstudiengangs:</t>
  </si>
  <si>
    <t>Im Winter- oder Sommersemester</t>
  </si>
  <si>
    <t>Im Winter- und Sommersemester</t>
  </si>
  <si>
    <t>Anzahl der beteiligten Hochschulen</t>
  </si>
  <si>
    <t>2.Studienverlaufsplan</t>
  </si>
  <si>
    <t>3. Lehrmaterial</t>
  </si>
  <si>
    <t>Anzahl zu erwerbender Bücher</t>
  </si>
  <si>
    <t>Anzahl vorhandener Studienbriefe</t>
  </si>
  <si>
    <t>4. Präsenzkosten</t>
  </si>
  <si>
    <t>7. Überblick</t>
  </si>
  <si>
    <t>Anzahl der Hausarbeiten</t>
  </si>
  <si>
    <t>Anzahl der Klausuren</t>
  </si>
  <si>
    <t xml:space="preserve">Studiengang </t>
  </si>
  <si>
    <t>Chatveranstaltung</t>
  </si>
  <si>
    <t>zusätzl. Präsenzveranstaltung</t>
  </si>
  <si>
    <t>zusätzl. Mitarbeitereinsatz</t>
  </si>
  <si>
    <t>Tutorien</t>
  </si>
  <si>
    <t>Angaben zum Studiengang</t>
  </si>
  <si>
    <t>1. Allgemeine Angaben</t>
  </si>
  <si>
    <t>Angaben zur Anbieter-Hochschule</t>
  </si>
  <si>
    <t>Allgemeine Angaben</t>
  </si>
  <si>
    <t>Finanzbereich FH SWF</t>
  </si>
  <si>
    <t>Geschäftsbedarf</t>
  </si>
  <si>
    <r>
      <rPr>
        <b/>
        <sz val="8"/>
        <color theme="1"/>
        <rFont val="Calibri"/>
        <family val="2"/>
        <scheme val="minor"/>
      </rPr>
      <t>4Std</t>
    </r>
    <r>
      <rPr>
        <sz val="8"/>
        <color theme="1"/>
        <rFont val="Calibri"/>
        <family val="2"/>
        <scheme val="minor"/>
      </rPr>
      <t xml:space="preserve"> bis 90 min Klausur;                              </t>
    </r>
    <r>
      <rPr>
        <b/>
        <sz val="8"/>
        <color theme="1"/>
        <rFont val="Calibri"/>
        <family val="2"/>
        <scheme val="minor"/>
      </rPr>
      <t xml:space="preserve">8Std </t>
    </r>
    <r>
      <rPr>
        <sz val="8"/>
        <color theme="1"/>
        <rFont val="Calibri"/>
        <family val="2"/>
        <scheme val="minor"/>
      </rPr>
      <t>ab 120min Klausur</t>
    </r>
  </si>
  <si>
    <t xml:space="preserve">Durchführung Präsenzveranstaltung </t>
  </si>
  <si>
    <r>
      <t xml:space="preserve">Summe Veranstaltungs-stunden für eine Gruppe                  </t>
    </r>
    <r>
      <rPr>
        <sz val="7"/>
        <color theme="1"/>
        <rFont val="Calibri"/>
        <family val="2"/>
        <scheme val="minor"/>
      </rPr>
      <t>(1SWS=16 Veranstaltungsstunden)</t>
    </r>
  </si>
  <si>
    <t>Overhead Institut für Verbundstudien</t>
  </si>
  <si>
    <t>Overhead FH Südwestfalen</t>
  </si>
  <si>
    <t>Overhead Anbieter-Hochschule</t>
  </si>
  <si>
    <t>6. Gemeinkosten</t>
  </si>
  <si>
    <t>Durchschnittliche Anzahl der Studierenden</t>
  </si>
  <si>
    <t>Aufnahme Studienbetrieb</t>
  </si>
  <si>
    <t>Musterstudiengang</t>
  </si>
  <si>
    <t xml:space="preserve">Stand der Kalkulation: </t>
  </si>
  <si>
    <t>Anzahl neu zu erstellender Studienbriefe</t>
  </si>
  <si>
    <t>2. Studienverlaufsplan</t>
  </si>
  <si>
    <t xml:space="preserve">Klausurerstellung </t>
  </si>
  <si>
    <t xml:space="preserve">Klausuraufsicht </t>
  </si>
  <si>
    <t>1.2 Berechnung der durchschnittlichen Studierendenanzahl</t>
  </si>
  <si>
    <t>Durchschnitt der Studierendenanzahl pro Semester</t>
  </si>
  <si>
    <t>Durchschnittliche Anzahl der Studierenden:</t>
  </si>
  <si>
    <t xml:space="preserve">SWS pro Studienbrief    </t>
  </si>
  <si>
    <t xml:space="preserve">Stand: </t>
  </si>
  <si>
    <r>
      <t xml:space="preserve">Vergütung </t>
    </r>
    <r>
      <rPr>
        <b/>
        <sz val="7"/>
        <color theme="1"/>
        <rFont val="Calibri"/>
        <family val="2"/>
        <scheme val="minor"/>
      </rPr>
      <t xml:space="preserve">(in €) </t>
    </r>
  </si>
  <si>
    <r>
      <t xml:space="preserve">Masterarbeit Erstprüfer </t>
    </r>
    <r>
      <rPr>
        <sz val="8"/>
        <color theme="1"/>
        <rFont val="Calibri"/>
        <family val="2"/>
        <scheme val="minor"/>
      </rPr>
      <t>(pro Studierenden)</t>
    </r>
  </si>
  <si>
    <r>
      <t>Masterarbeit Zweitprüfer</t>
    </r>
    <r>
      <rPr>
        <sz val="8"/>
        <color theme="1"/>
        <rFont val="Calibri"/>
        <family val="2"/>
        <scheme val="minor"/>
      </rPr>
      <t xml:space="preserve"> (pro Studierenden) </t>
    </r>
  </si>
  <si>
    <r>
      <t xml:space="preserve">Mündliche Prüfung </t>
    </r>
    <r>
      <rPr>
        <sz val="8"/>
        <color theme="1"/>
        <rFont val="Calibri"/>
        <family val="2"/>
        <scheme val="minor"/>
      </rPr>
      <t>(pro Studierenden)</t>
    </r>
  </si>
  <si>
    <r>
      <t xml:space="preserve">Hausarbeit </t>
    </r>
    <r>
      <rPr>
        <sz val="8"/>
        <color theme="1"/>
        <rFont val="Calibri"/>
        <family val="2"/>
        <scheme val="minor"/>
      </rPr>
      <t>(pro Studierenden)</t>
    </r>
  </si>
  <si>
    <r>
      <t xml:space="preserve">Klausurkorrektur </t>
    </r>
    <r>
      <rPr>
        <sz val="8"/>
        <color theme="1"/>
        <rFont val="Calibri"/>
        <family val="2"/>
        <scheme val="minor"/>
      </rPr>
      <t>(Klausur &lt; 90 Minuten)</t>
    </r>
  </si>
  <si>
    <r>
      <t xml:space="preserve">Klausurkorrektur </t>
    </r>
    <r>
      <rPr>
        <sz val="8"/>
        <color theme="1"/>
        <rFont val="Calibri"/>
        <family val="2"/>
        <scheme val="minor"/>
      </rPr>
      <t>(Klausur &gt; 90 Minuten)</t>
    </r>
  </si>
  <si>
    <t xml:space="preserve">Korrektur der Hausarbeit </t>
  </si>
  <si>
    <t>pro Studierenden (in Stunden)</t>
  </si>
  <si>
    <t>pro Studierenden (in Minuten)</t>
  </si>
  <si>
    <r>
      <t xml:space="preserve">Hausarbeit                </t>
    </r>
    <r>
      <rPr>
        <sz val="8"/>
        <color theme="1"/>
        <rFont val="Calibri"/>
        <family val="2"/>
        <scheme val="minor"/>
      </rPr>
      <t>(pro Studierenden)</t>
    </r>
  </si>
  <si>
    <t>Anzahl der mündlichen Prüfungen</t>
  </si>
  <si>
    <r>
      <t xml:space="preserve">Vorlesung </t>
    </r>
    <r>
      <rPr>
        <sz val="8"/>
        <color theme="1"/>
        <rFont val="Calibri"/>
        <family val="2"/>
        <scheme val="minor"/>
      </rPr>
      <t>(Summe in SWS)</t>
    </r>
  </si>
  <si>
    <r>
      <t xml:space="preserve">Übung </t>
    </r>
    <r>
      <rPr>
        <sz val="8"/>
        <color theme="1"/>
        <rFont val="Calibri"/>
        <family val="2"/>
        <scheme val="minor"/>
      </rPr>
      <t>(Summe der SWS)</t>
    </r>
  </si>
  <si>
    <r>
      <t>Praktikum</t>
    </r>
    <r>
      <rPr>
        <sz val="8"/>
        <color theme="1"/>
        <rFont val="Calibri"/>
        <family val="2"/>
        <scheme val="minor"/>
      </rPr>
      <t xml:space="preserve"> (Summe der SWS)</t>
    </r>
  </si>
  <si>
    <r>
      <t xml:space="preserve">Seminar </t>
    </r>
    <r>
      <rPr>
        <sz val="8"/>
        <color theme="1"/>
        <rFont val="Calibri"/>
        <family val="2"/>
        <scheme val="minor"/>
      </rPr>
      <t>(Summe der SWS)</t>
    </r>
  </si>
  <si>
    <t>Durchführung Präsenzveranstaltungen</t>
  </si>
  <si>
    <t>Zusätzliche Präsenzveranstaltungen</t>
  </si>
  <si>
    <t>Anzahl der Studienfächer</t>
  </si>
  <si>
    <r>
      <t>Gesamtkosten</t>
    </r>
    <r>
      <rPr>
        <b/>
        <sz val="10"/>
        <color theme="1"/>
        <rFont val="Calibri"/>
        <family val="2"/>
        <scheme val="minor"/>
      </rPr>
      <t xml:space="preserve"> je Studierenden pro Semester</t>
    </r>
  </si>
  <si>
    <t>3.1 Nebenberechnung der Kosten für die Studienbriefe</t>
  </si>
  <si>
    <r>
      <t xml:space="preserve">Vergütung </t>
    </r>
    <r>
      <rPr>
        <b/>
        <sz val="8"/>
        <color theme="1"/>
        <rFont val="Calibri"/>
        <family val="2"/>
        <scheme val="minor"/>
      </rPr>
      <t>(in €)</t>
    </r>
    <r>
      <rPr>
        <b/>
        <sz val="10"/>
        <color theme="1"/>
        <rFont val="Calibri"/>
        <family val="2"/>
        <scheme val="minor"/>
      </rPr>
      <t xml:space="preserve"> </t>
    </r>
  </si>
  <si>
    <t>Klausurkorrektur</t>
  </si>
  <si>
    <r>
      <t>Aufnahmekapazität pro Hochschule</t>
    </r>
    <r>
      <rPr>
        <sz val="8"/>
        <color theme="1"/>
        <rFont val="Calibri"/>
        <family val="2"/>
        <scheme val="minor"/>
      </rPr>
      <t xml:space="preserve"> </t>
    </r>
  </si>
  <si>
    <t>0,3 VZÄ</t>
  </si>
  <si>
    <t>1 HS nur WS oder SS</t>
  </si>
  <si>
    <t>0,25 VZÄ</t>
  </si>
  <si>
    <t>&gt;=2 HS nur WS oder SS</t>
  </si>
  <si>
    <t>0,4 VZÄ</t>
  </si>
  <si>
    <t>1 HS im WS und SS</t>
  </si>
  <si>
    <t>0,35 VZÄ</t>
  </si>
  <si>
    <t>&gt;=2 HS im WS und SS</t>
  </si>
  <si>
    <t>VZÄ-Anteile gem. Beratungsvorlage vom IfV</t>
  </si>
  <si>
    <t>'1_Allg_Angaben'!$C$19='1_Allg_Angaben'!$B$40</t>
  </si>
  <si>
    <t>Wenn im WS oder SS immatrikuliert wird</t>
  </si>
  <si>
    <t>Wenn im WS und SS immatrikuliert wird</t>
  </si>
  <si>
    <t>1_Allg_Angaben'!$C$19='1_Allg_Angaben'!$B$41</t>
  </si>
  <si>
    <t>Zentraler Overhead (Berechnung der Personalkosten für FH SWF und IfV)</t>
  </si>
  <si>
    <t xml:space="preserve">Durschnittssätze Personalkosten </t>
  </si>
  <si>
    <t>1_Allg_Angaben'!$C$19='1_Allg_Angaben'!$B$40</t>
  </si>
  <si>
    <t>Regelstudienzeit (in Semester)</t>
  </si>
  <si>
    <t>Prüfungsformen</t>
  </si>
  <si>
    <r>
      <t>Klausurerstellung</t>
    </r>
    <r>
      <rPr>
        <b/>
        <sz val="7"/>
        <color theme="1"/>
        <rFont val="Calibri"/>
        <family val="2"/>
        <scheme val="minor"/>
      </rPr>
      <t xml:space="preserve">                 (in Stunden)</t>
    </r>
  </si>
  <si>
    <t>Dauer                                          der mündlichen Prüfung</t>
  </si>
  <si>
    <t>Personalkosten*</t>
  </si>
  <si>
    <t>E 9 b</t>
  </si>
  <si>
    <t>E 9 a</t>
  </si>
  <si>
    <t>E 3 b</t>
  </si>
  <si>
    <t>E 3 a</t>
  </si>
  <si>
    <t>*Bei den Personalkosten handelt es sich um Durchschnittsätze (Stand: 2020) der Personalabteilung der FH SWF.</t>
  </si>
  <si>
    <t>Besoldungs-/ Entgeltgruppe</t>
  </si>
  <si>
    <t>Personalkosten-
pauschale/Jahr</t>
  </si>
  <si>
    <t>Personalkosten-pauschale/Std.</t>
  </si>
  <si>
    <t>Besoldung</t>
  </si>
  <si>
    <t>BesO A</t>
  </si>
  <si>
    <t>A 9 m.D.</t>
  </si>
  <si>
    <t>A 9 g.D.</t>
  </si>
  <si>
    <t>A 10</t>
  </si>
  <si>
    <t>A 11</t>
  </si>
  <si>
    <t>A 12</t>
  </si>
  <si>
    <t>A 13 g.D.</t>
  </si>
  <si>
    <t>A 13 h.D.</t>
  </si>
  <si>
    <t>A 14</t>
  </si>
  <si>
    <t>A 15</t>
  </si>
  <si>
    <t>A 16</t>
  </si>
  <si>
    <t>BesO C</t>
  </si>
  <si>
    <t>C 2</t>
  </si>
  <si>
    <t>C 3</t>
  </si>
  <si>
    <t>BesO W</t>
  </si>
  <si>
    <t>W 2</t>
  </si>
  <si>
    <t>W 3</t>
  </si>
  <si>
    <t>Entgelt</t>
  </si>
  <si>
    <t>W 2 Angestellter</t>
  </si>
  <si>
    <t>Wiss u. sonstige MA</t>
  </si>
  <si>
    <t>Hilfskräfte</t>
  </si>
  <si>
    <t>HK-ohne Abschluss</t>
  </si>
  <si>
    <t>ohne</t>
  </si>
  <si>
    <t>HK mit BA-Abschluss</t>
  </si>
  <si>
    <t>BA</t>
  </si>
  <si>
    <t>HK mit MA-Abschluss</t>
  </si>
  <si>
    <t>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</si>
</sst>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"/>
    <numFmt numFmtId="165" formatCode="0.0"/>
    <numFmt numFmtId="166" formatCode="#,##0.00\ &quot;€&quot;"/>
  </numFmts>
  <fonts count="32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76ACD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5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Protection="1"/>
    <xf numFmtId="0" fontId="5" fillId="0" borderId="0" xfId="0" applyFont="1" applyProtection="1"/>
    <xf numFmtId="0" fontId="5" fillId="0" borderId="0" xfId="0" applyFont="1" applyBorder="1" applyProtection="1"/>
    <xf numFmtId="0" fontId="4" fillId="0" borderId="0" xfId="0" applyFont="1" applyBorder="1" applyProtection="1"/>
    <xf numFmtId="0" fontId="5" fillId="0" borderId="0" xfId="0" applyFont="1" applyFill="1" applyBorder="1" applyProtection="1"/>
    <xf numFmtId="0" fontId="5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Fill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Fill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164" fontId="4" fillId="0" borderId="0" xfId="0" applyNumberFormat="1" applyFont="1" applyBorder="1" applyProtection="1"/>
    <xf numFmtId="0" fontId="5" fillId="0" borderId="0" xfId="0" applyFont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2" fillId="0" borderId="0" xfId="0" applyFont="1" applyFill="1" applyBorder="1" applyAlignment="1">
      <alignment horizontal="left"/>
    </xf>
    <xf numFmtId="14" fontId="1" fillId="0" borderId="1" xfId="0" applyNumberFormat="1" applyFont="1" applyBorder="1" applyAlignment="1" applyProtection="1">
      <alignment horizontal="center"/>
    </xf>
    <xf numFmtId="0" fontId="9" fillId="0" borderId="0" xfId="0" applyFont="1" applyFill="1" applyBorder="1" applyProtection="1"/>
    <xf numFmtId="0" fontId="9" fillId="0" borderId="0" xfId="0" applyFont="1" applyBorder="1" applyProtection="1"/>
    <xf numFmtId="0" fontId="12" fillId="0" borderId="0" xfId="0" applyFont="1" applyFill="1" applyBorder="1" applyAlignment="1" applyProtection="1">
      <alignment horizontal="left"/>
    </xf>
    <xf numFmtId="0" fontId="9" fillId="0" borderId="0" xfId="0" applyFont="1" applyBorder="1"/>
    <xf numFmtId="14" fontId="1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</xf>
    <xf numFmtId="0" fontId="9" fillId="0" borderId="0" xfId="0" applyFont="1"/>
    <xf numFmtId="0" fontId="12" fillId="0" borderId="0" xfId="0" applyFont="1" applyProtection="1"/>
    <xf numFmtId="0" fontId="9" fillId="0" borderId="0" xfId="0" applyFont="1" applyProtection="1"/>
    <xf numFmtId="0" fontId="12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/>
    </xf>
    <xf numFmtId="14" fontId="1" fillId="0" borderId="0" xfId="0" applyNumberFormat="1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right"/>
    </xf>
    <xf numFmtId="0" fontId="16" fillId="0" borderId="0" xfId="0" applyFont="1" applyBorder="1" applyProtection="1"/>
    <xf numFmtId="0" fontId="12" fillId="0" borderId="43" xfId="0" applyFont="1" applyBorder="1" applyProtection="1"/>
    <xf numFmtId="0" fontId="9" fillId="0" borderId="25" xfId="0" applyFont="1" applyBorder="1" applyAlignment="1" applyProtection="1">
      <alignment horizontal="center"/>
    </xf>
    <xf numFmtId="0" fontId="9" fillId="0" borderId="0" xfId="0" applyFont="1" applyFill="1" applyProtection="1"/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2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9" fillId="0" borderId="27" xfId="0" applyFont="1" applyBorder="1" applyProtection="1"/>
    <xf numFmtId="0" fontId="12" fillId="0" borderId="29" xfId="0" applyFont="1" applyBorder="1" applyAlignment="1" applyProtection="1"/>
    <xf numFmtId="0" fontId="12" fillId="0" borderId="30" xfId="0" applyFont="1" applyBorder="1" applyAlignment="1" applyProtection="1"/>
    <xf numFmtId="0" fontId="12" fillId="0" borderId="31" xfId="0" applyFont="1" applyBorder="1" applyAlignment="1" applyProtection="1"/>
    <xf numFmtId="0" fontId="9" fillId="0" borderId="38" xfId="0" applyFont="1" applyFill="1" applyBorder="1" applyAlignment="1" applyProtection="1">
      <alignment horizontal="left"/>
    </xf>
    <xf numFmtId="0" fontId="9" fillId="0" borderId="28" xfId="0" applyFont="1" applyFill="1" applyBorder="1" applyAlignment="1" applyProtection="1">
      <alignment horizontal="left"/>
    </xf>
    <xf numFmtId="0" fontId="9" fillId="0" borderId="37" xfId="0" applyFont="1" applyFill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Fill="1" applyProtection="1"/>
    <xf numFmtId="0" fontId="12" fillId="0" borderId="0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horizontal="center"/>
    </xf>
    <xf numFmtId="2" fontId="12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Protection="1"/>
    <xf numFmtId="4" fontId="12" fillId="0" borderId="0" xfId="0" applyNumberFormat="1" applyFont="1" applyFill="1" applyBorder="1" applyProtection="1"/>
    <xf numFmtId="0" fontId="15" fillId="0" borderId="0" xfId="0" applyFont="1" applyFill="1" applyBorder="1" applyAlignment="1" applyProtection="1">
      <protection locked="0"/>
    </xf>
    <xf numFmtId="0" fontId="17" fillId="2" borderId="1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</xf>
    <xf numFmtId="164" fontId="12" fillId="2" borderId="3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164" fontId="12" fillId="2" borderId="2" xfId="0" applyNumberFormat="1" applyFont="1" applyFill="1" applyBorder="1" applyAlignment="1" applyProtection="1">
      <alignment horizontal="center"/>
      <protection locked="0"/>
    </xf>
    <xf numFmtId="164" fontId="12" fillId="2" borderId="21" xfId="0" applyNumberFormat="1" applyFont="1" applyFill="1" applyBorder="1" applyAlignment="1" applyProtection="1">
      <alignment horizontal="center"/>
      <protection locked="0"/>
    </xf>
    <xf numFmtId="164" fontId="12" fillId="2" borderId="1" xfId="0" applyNumberFormat="1" applyFont="1" applyFill="1" applyBorder="1" applyAlignment="1" applyProtection="1">
      <alignment horizontal="center"/>
      <protection locked="0"/>
    </xf>
    <xf numFmtId="164" fontId="9" fillId="2" borderId="1" xfId="0" applyNumberFormat="1" applyFont="1" applyFill="1" applyBorder="1" applyAlignment="1" applyProtection="1">
      <alignment horizontal="center"/>
      <protection locked="0"/>
    </xf>
    <xf numFmtId="164" fontId="12" fillId="2" borderId="12" xfId="0" applyNumberFormat="1" applyFont="1" applyFill="1" applyBorder="1" applyAlignment="1" applyProtection="1">
      <alignment horizontal="center"/>
      <protection locked="0"/>
    </xf>
    <xf numFmtId="164" fontId="12" fillId="2" borderId="40" xfId="0" applyNumberFormat="1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Alignment="1" applyProtection="1">
      <alignment horizontal="center"/>
      <protection locked="0"/>
    </xf>
    <xf numFmtId="164" fontId="12" fillId="2" borderId="9" xfId="0" applyNumberFormat="1" applyFont="1" applyFill="1" applyBorder="1" applyAlignment="1" applyProtection="1">
      <alignment horizontal="center"/>
      <protection locked="0"/>
    </xf>
    <xf numFmtId="164" fontId="9" fillId="2" borderId="9" xfId="0" applyNumberFormat="1" applyFont="1" applyFill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left"/>
    </xf>
    <xf numFmtId="0" fontId="9" fillId="0" borderId="12" xfId="0" applyFont="1" applyBorder="1" applyAlignment="1" applyProtection="1">
      <alignment horizontal="left"/>
    </xf>
    <xf numFmtId="0" fontId="12" fillId="0" borderId="14" xfId="0" applyFont="1" applyBorder="1" applyAlignment="1" applyProtection="1">
      <alignment horizontal="left"/>
    </xf>
    <xf numFmtId="0" fontId="12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12" fillId="0" borderId="11" xfId="0" applyFont="1" applyBorder="1" applyProtection="1"/>
    <xf numFmtId="0" fontId="12" fillId="0" borderId="7" xfId="0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center"/>
    </xf>
    <xf numFmtId="0" fontId="12" fillId="0" borderId="12" xfId="0" applyFont="1" applyBorder="1" applyProtection="1"/>
    <xf numFmtId="0" fontId="18" fillId="0" borderId="13" xfId="0" applyFont="1" applyBorder="1" applyAlignment="1" applyProtection="1">
      <alignment horizontal="center"/>
    </xf>
    <xf numFmtId="0" fontId="17" fillId="2" borderId="12" xfId="0" applyFont="1" applyFill="1" applyBorder="1" applyAlignment="1" applyProtection="1">
      <alignment horizontal="left"/>
      <protection locked="0"/>
    </xf>
    <xf numFmtId="0" fontId="17" fillId="2" borderId="12" xfId="0" applyFont="1" applyFill="1" applyBorder="1" applyAlignment="1" applyProtection="1">
      <alignment horizontal="left" vertical="top"/>
      <protection locked="0"/>
    </xf>
    <xf numFmtId="49" fontId="17" fillId="2" borderId="12" xfId="0" applyNumberFormat="1" applyFont="1" applyFill="1" applyBorder="1" applyAlignment="1" applyProtection="1">
      <alignment horizontal="left"/>
      <protection locked="0"/>
    </xf>
    <xf numFmtId="0" fontId="17" fillId="2" borderId="12" xfId="0" applyNumberFormat="1" applyFont="1" applyFill="1" applyBorder="1" applyAlignment="1" applyProtection="1">
      <alignment horizontal="left"/>
      <protection locked="0"/>
    </xf>
    <xf numFmtId="0" fontId="12" fillId="0" borderId="14" xfId="0" applyFont="1" applyFill="1" applyBorder="1" applyAlignment="1" applyProtection="1">
      <alignment horizontal="left"/>
    </xf>
    <xf numFmtId="0" fontId="19" fillId="0" borderId="39" xfId="0" applyFont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 applyProtection="1"/>
    <xf numFmtId="0" fontId="12" fillId="0" borderId="42" xfId="0" applyFont="1" applyBorder="1" applyProtection="1"/>
    <xf numFmtId="0" fontId="12" fillId="0" borderId="44" xfId="0" applyFont="1" applyBorder="1" applyAlignment="1" applyProtection="1"/>
    <xf numFmtId="0" fontId="9" fillId="0" borderId="45" xfId="0" applyFont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12" fillId="0" borderId="0" xfId="0" applyFont="1" applyBorder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4" fontId="9" fillId="0" borderId="0" xfId="0" applyNumberFormat="1" applyFont="1" applyFill="1" applyBorder="1" applyAlignment="1" applyProtection="1">
      <alignment horizontal="center"/>
    </xf>
    <xf numFmtId="0" fontId="9" fillId="0" borderId="11" xfId="0" applyFont="1" applyBorder="1" applyProtection="1"/>
    <xf numFmtId="0" fontId="12" fillId="0" borderId="9" xfId="0" applyFont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8" xfId="0" applyFont="1" applyBorder="1" applyProtection="1"/>
    <xf numFmtId="3" fontId="9" fillId="0" borderId="13" xfId="0" applyNumberFormat="1" applyFont="1" applyFill="1" applyBorder="1" applyProtection="1"/>
    <xf numFmtId="0" fontId="12" fillId="0" borderId="12" xfId="0" applyFont="1" applyBorder="1" applyAlignment="1" applyProtection="1"/>
    <xf numFmtId="0" fontId="9" fillId="0" borderId="12" xfId="0" applyFont="1" applyFill="1" applyBorder="1" applyAlignment="1" applyProtection="1"/>
    <xf numFmtId="0" fontId="9" fillId="0" borderId="47" xfId="0" applyFont="1" applyFill="1" applyBorder="1" applyAlignment="1" applyProtection="1">
      <alignment horizontal="right"/>
    </xf>
    <xf numFmtId="0" fontId="9" fillId="0" borderId="48" xfId="0" applyFont="1" applyFill="1" applyBorder="1" applyAlignment="1" applyProtection="1">
      <alignment horizontal="right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left"/>
    </xf>
    <xf numFmtId="0" fontId="9" fillId="0" borderId="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9" xfId="0" applyFont="1" applyBorder="1" applyProtection="1"/>
    <xf numFmtId="0" fontId="9" fillId="0" borderId="46" xfId="0" applyFont="1" applyBorder="1" applyProtection="1"/>
    <xf numFmtId="0" fontId="12" fillId="0" borderId="35" xfId="0" applyFont="1" applyBorder="1" applyAlignment="1" applyProtection="1">
      <alignment horizontal="left" vertical="center"/>
    </xf>
    <xf numFmtId="0" fontId="12" fillId="2" borderId="20" xfId="0" applyNumberFormat="1" applyFont="1" applyFill="1" applyBorder="1" applyAlignment="1" applyProtection="1">
      <alignment horizontal="center" vertical="center"/>
      <protection locked="0"/>
    </xf>
    <xf numFmtId="0" fontId="12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1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3" fontId="12" fillId="0" borderId="0" xfId="0" applyNumberFormat="1" applyFont="1" applyProtection="1"/>
    <xf numFmtId="3" fontId="12" fillId="0" borderId="0" xfId="0" applyNumberFormat="1" applyFont="1" applyFill="1" applyProtection="1"/>
    <xf numFmtId="164" fontId="9" fillId="0" borderId="35" xfId="0" applyNumberFormat="1" applyFont="1" applyFill="1" applyBorder="1" applyAlignment="1" applyProtection="1">
      <alignment horizontal="center"/>
    </xf>
    <xf numFmtId="164" fontId="9" fillId="0" borderId="12" xfId="0" applyNumberFormat="1" applyFont="1" applyFill="1" applyBorder="1" applyAlignment="1" applyProtection="1">
      <alignment horizontal="center"/>
    </xf>
    <xf numFmtId="164" fontId="9" fillId="0" borderId="1" xfId="0" applyNumberFormat="1" applyFont="1" applyFill="1" applyBorder="1" applyAlignment="1" applyProtection="1">
      <alignment horizontal="center"/>
    </xf>
    <xf numFmtId="164" fontId="9" fillId="0" borderId="33" xfId="0" applyNumberFormat="1" applyFont="1" applyFill="1" applyBorder="1" applyAlignment="1" applyProtection="1">
      <alignment horizontal="center"/>
    </xf>
    <xf numFmtId="3" fontId="12" fillId="0" borderId="0" xfId="0" applyNumberFormat="1" applyFont="1" applyBorder="1" applyProtection="1"/>
    <xf numFmtId="165" fontId="12" fillId="0" borderId="0" xfId="0" applyNumberFormat="1" applyFont="1" applyBorder="1" applyProtection="1"/>
    <xf numFmtId="3" fontId="9" fillId="0" borderId="0" xfId="0" applyNumberFormat="1" applyFont="1" applyProtection="1"/>
    <xf numFmtId="164" fontId="9" fillId="0" borderId="1" xfId="0" applyNumberFormat="1" applyFont="1" applyFill="1" applyBorder="1" applyProtection="1"/>
    <xf numFmtId="165" fontId="12" fillId="0" borderId="0" xfId="0" applyNumberFormat="1" applyFont="1" applyFill="1" applyBorder="1" applyProtection="1"/>
    <xf numFmtId="0" fontId="13" fillId="0" borderId="1" xfId="0" applyFont="1" applyFill="1" applyBorder="1" applyProtection="1"/>
    <xf numFmtId="0" fontId="15" fillId="0" borderId="0" xfId="0" applyFont="1" applyBorder="1" applyProtection="1"/>
    <xf numFmtId="0" fontId="9" fillId="0" borderId="0" xfId="0" applyFont="1" applyBorder="1" applyAlignment="1" applyProtection="1"/>
    <xf numFmtId="0" fontId="8" fillId="0" borderId="0" xfId="0" applyFont="1" applyBorder="1" applyAlignment="1" applyProtection="1">
      <alignment horizontal="right"/>
    </xf>
    <xf numFmtId="0" fontId="10" fillId="0" borderId="0" xfId="0" applyFont="1"/>
    <xf numFmtId="0" fontId="12" fillId="0" borderId="1" xfId="0" applyFont="1" applyBorder="1" applyProtection="1"/>
    <xf numFmtId="0" fontId="9" fillId="0" borderId="1" xfId="0" applyFont="1" applyBorder="1" applyProtection="1"/>
    <xf numFmtId="3" fontId="9" fillId="0" borderId="1" xfId="0" applyNumberFormat="1" applyFont="1" applyFill="1" applyBorder="1" applyAlignment="1" applyProtection="1">
      <alignment horizontal="center"/>
    </xf>
    <xf numFmtId="165" fontId="9" fillId="0" borderId="1" xfId="0" applyNumberFormat="1" applyFont="1" applyFill="1" applyBorder="1" applyAlignment="1" applyProtection="1">
      <alignment horizontal="center"/>
    </xf>
    <xf numFmtId="3" fontId="9" fillId="0" borderId="1" xfId="0" applyNumberFormat="1" applyFont="1" applyFill="1" applyBorder="1" applyProtection="1"/>
    <xf numFmtId="165" fontId="9" fillId="0" borderId="1" xfId="0" applyNumberFormat="1" applyFont="1" applyFill="1" applyBorder="1" applyProtection="1"/>
    <xf numFmtId="3" fontId="12" fillId="4" borderId="1" xfId="0" applyNumberFormat="1" applyFont="1" applyFill="1" applyBorder="1" applyAlignment="1" applyProtection="1">
      <alignment horizontal="center"/>
    </xf>
    <xf numFmtId="3" fontId="12" fillId="4" borderId="1" xfId="0" applyNumberFormat="1" applyFont="1" applyFill="1" applyBorder="1" applyProtection="1"/>
    <xf numFmtId="14" fontId="8" fillId="0" borderId="1" xfId="0" applyNumberFormat="1" applyFont="1" applyBorder="1" applyAlignment="1" applyProtection="1">
      <alignment horizontal="center"/>
    </xf>
    <xf numFmtId="14" fontId="12" fillId="0" borderId="1" xfId="0" applyNumberFormat="1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/>
    </xf>
    <xf numFmtId="0" fontId="12" fillId="0" borderId="7" xfId="0" applyFont="1" applyBorder="1" applyProtection="1"/>
    <xf numFmtId="0" fontId="9" fillId="0" borderId="7" xfId="0" applyFont="1" applyBorder="1" applyProtection="1"/>
    <xf numFmtId="4" fontId="12" fillId="0" borderId="16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4" fontId="9" fillId="0" borderId="0" xfId="0" applyNumberFormat="1" applyFont="1" applyFill="1" applyBorder="1" applyProtection="1"/>
    <xf numFmtId="0" fontId="9" fillId="0" borderId="0" xfId="0" applyFont="1" applyFill="1"/>
    <xf numFmtId="0" fontId="9" fillId="0" borderId="1" xfId="0" applyFont="1" applyFill="1" applyBorder="1" applyAlignment="1" applyProtection="1">
      <alignment horizontal="left"/>
    </xf>
    <xf numFmtId="0" fontId="9" fillId="0" borderId="12" xfId="0" applyFont="1" applyFill="1" applyBorder="1" applyAlignment="1" applyProtection="1">
      <alignment horizontal="left"/>
    </xf>
    <xf numFmtId="0" fontId="12" fillId="0" borderId="10" xfId="0" applyFont="1" applyBorder="1" applyAlignment="1" applyProtection="1">
      <alignment horizontal="center"/>
    </xf>
    <xf numFmtId="0" fontId="12" fillId="2" borderId="13" xfId="0" applyFont="1" applyFill="1" applyBorder="1" applyAlignment="1" applyProtection="1">
      <alignment horizontal="center"/>
      <protection locked="0"/>
    </xf>
    <xf numFmtId="0" fontId="12" fillId="0" borderId="41" xfId="0" applyFont="1" applyBorder="1" applyAlignment="1" applyProtection="1"/>
    <xf numFmtId="0" fontId="9" fillId="0" borderId="31" xfId="0" applyFont="1" applyBorder="1"/>
    <xf numFmtId="0" fontId="9" fillId="0" borderId="22" xfId="0" applyFont="1" applyBorder="1" applyAlignment="1" applyProtection="1">
      <alignment horizontal="center"/>
    </xf>
    <xf numFmtId="0" fontId="9" fillId="0" borderId="50" xfId="0" applyFont="1" applyFill="1" applyBorder="1" applyAlignment="1" applyProtection="1">
      <alignment horizontal="center"/>
    </xf>
    <xf numFmtId="4" fontId="9" fillId="0" borderId="20" xfId="0" applyNumberFormat="1" applyFont="1" applyFill="1" applyBorder="1" applyAlignment="1" applyProtection="1">
      <alignment horizontal="center"/>
    </xf>
    <xf numFmtId="164" fontId="12" fillId="0" borderId="17" xfId="0" applyNumberFormat="1" applyFont="1" applyFill="1" applyBorder="1" applyAlignment="1" applyProtection="1">
      <alignment horizontal="center"/>
    </xf>
    <xf numFmtId="0" fontId="9" fillId="3" borderId="0" xfId="0" applyFont="1" applyFill="1"/>
    <xf numFmtId="0" fontId="9" fillId="0" borderId="39" xfId="0" applyFont="1" applyBorder="1" applyAlignment="1" applyProtection="1">
      <alignment horizontal="center"/>
    </xf>
    <xf numFmtId="4" fontId="12" fillId="0" borderId="35" xfId="0" applyNumberFormat="1" applyFont="1" applyFill="1" applyBorder="1" applyAlignment="1" applyProtection="1">
      <alignment horizontal="center"/>
    </xf>
    <xf numFmtId="4" fontId="12" fillId="0" borderId="12" xfId="0" applyNumberFormat="1" applyFont="1" applyFill="1" applyBorder="1" applyAlignment="1" applyProtection="1">
      <alignment horizontal="center"/>
    </xf>
    <xf numFmtId="4" fontId="9" fillId="0" borderId="13" xfId="0" applyNumberFormat="1" applyFont="1" applyFill="1" applyBorder="1" applyAlignment="1" applyProtection="1">
      <alignment horizontal="center"/>
    </xf>
    <xf numFmtId="4" fontId="12" fillId="0" borderId="33" xfId="0" applyNumberFormat="1" applyFont="1" applyFill="1" applyBorder="1" applyAlignment="1" applyProtection="1">
      <alignment horizontal="center"/>
    </xf>
    <xf numFmtId="4" fontId="9" fillId="0" borderId="34" xfId="0" applyNumberFormat="1" applyFont="1" applyFill="1" applyBorder="1" applyAlignment="1" applyProtection="1">
      <alignment horizontal="center"/>
    </xf>
    <xf numFmtId="4" fontId="12" fillId="0" borderId="17" xfId="0" applyNumberFormat="1" applyFont="1" applyFill="1" applyBorder="1" applyAlignment="1" applyProtection="1">
      <alignment horizontal="center"/>
    </xf>
    <xf numFmtId="0" fontId="12" fillId="0" borderId="29" xfId="0" applyFont="1" applyBorder="1"/>
    <xf numFmtId="0" fontId="9" fillId="0" borderId="35" xfId="0" applyNumberFormat="1" applyFont="1" applyFill="1" applyBorder="1" applyAlignment="1" applyProtection="1">
      <alignment horizontal="center"/>
    </xf>
    <xf numFmtId="0" fontId="9" fillId="0" borderId="12" xfId="0" applyNumberFormat="1" applyFont="1" applyFill="1" applyBorder="1" applyAlignment="1" applyProtection="1">
      <alignment horizontal="center"/>
    </xf>
    <xf numFmtId="0" fontId="9" fillId="0" borderId="33" xfId="0" applyNumberFormat="1" applyFont="1" applyFill="1" applyBorder="1" applyAlignment="1" applyProtection="1">
      <alignment horizontal="center"/>
    </xf>
    <xf numFmtId="0" fontId="9" fillId="0" borderId="33" xfId="0" applyFont="1" applyBorder="1" applyAlignment="1" applyProtection="1">
      <alignment horizontal="left"/>
    </xf>
    <xf numFmtId="4" fontId="9" fillId="0" borderId="1" xfId="0" applyNumberFormat="1" applyFont="1" applyFill="1" applyBorder="1" applyProtection="1"/>
    <xf numFmtId="0" fontId="12" fillId="4" borderId="17" xfId="0" applyFont="1" applyFill="1" applyBorder="1" applyProtection="1"/>
    <xf numFmtId="0" fontId="12" fillId="4" borderId="33" xfId="0" applyFont="1" applyFill="1" applyBorder="1" applyProtection="1"/>
    <xf numFmtId="0" fontId="12" fillId="0" borderId="7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</xf>
    <xf numFmtId="14" fontId="9" fillId="0" borderId="0" xfId="0" applyNumberFormat="1" applyFont="1" applyAlignment="1" applyProtection="1">
      <alignment horizontal="center"/>
    </xf>
    <xf numFmtId="0" fontId="9" fillId="0" borderId="0" xfId="0" applyFont="1" applyFill="1" applyBorder="1"/>
    <xf numFmtId="0" fontId="20" fillId="0" borderId="0" xfId="0" applyFont="1" applyBorder="1" applyProtection="1"/>
    <xf numFmtId="0" fontId="12" fillId="2" borderId="1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/>
    </xf>
    <xf numFmtId="4" fontId="9" fillId="0" borderId="13" xfId="0" applyNumberFormat="1" applyFont="1" applyFill="1" applyBorder="1" applyProtection="1"/>
    <xf numFmtId="0" fontId="9" fillId="0" borderId="12" xfId="0" applyFont="1" applyBorder="1" applyProtection="1"/>
    <xf numFmtId="4" fontId="12" fillId="0" borderId="0" xfId="0" applyNumberFormat="1" applyFont="1" applyBorder="1" applyAlignment="1" applyProtection="1">
      <alignment horizontal="center"/>
    </xf>
    <xf numFmtId="0" fontId="9" fillId="3" borderId="0" xfId="0" applyFont="1" applyFill="1" applyProtection="1"/>
    <xf numFmtId="4" fontId="12" fillId="3" borderId="0" xfId="0" applyNumberFormat="1" applyFont="1" applyFill="1" applyBorder="1" applyAlignment="1" applyProtection="1">
      <alignment horizontal="center"/>
    </xf>
    <xf numFmtId="0" fontId="9" fillId="0" borderId="36" xfId="0" applyFont="1" applyBorder="1" applyProtection="1"/>
    <xf numFmtId="4" fontId="12" fillId="0" borderId="29" xfId="0" applyNumberFormat="1" applyFont="1" applyBorder="1" applyAlignment="1" applyProtection="1">
      <alignment horizontal="left"/>
    </xf>
    <xf numFmtId="0" fontId="9" fillId="0" borderId="31" xfId="0" applyFont="1" applyBorder="1" applyProtection="1"/>
    <xf numFmtId="0" fontId="9" fillId="0" borderId="28" xfId="0" applyFont="1" applyBorder="1" applyAlignment="1" applyProtection="1">
      <alignment horizontal="center"/>
    </xf>
    <xf numFmtId="0" fontId="9" fillId="0" borderId="38" xfId="0" applyFont="1" applyBorder="1" applyAlignment="1" applyProtection="1">
      <alignment horizontal="center"/>
    </xf>
    <xf numFmtId="0" fontId="9" fillId="0" borderId="32" xfId="0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/>
    </xf>
    <xf numFmtId="0" fontId="9" fillId="0" borderId="0" xfId="0" applyFont="1" applyProtection="1">
      <protection locked="0"/>
    </xf>
    <xf numFmtId="4" fontId="9" fillId="0" borderId="28" xfId="0" applyNumberFormat="1" applyFont="1" applyFill="1" applyBorder="1" applyAlignment="1" applyProtection="1">
      <alignment horizontal="center"/>
    </xf>
    <xf numFmtId="1" fontId="9" fillId="0" borderId="12" xfId="0" applyNumberFormat="1" applyFont="1" applyFill="1" applyBorder="1" applyAlignment="1" applyProtection="1">
      <alignment horizontal="center"/>
    </xf>
    <xf numFmtId="4" fontId="9" fillId="0" borderId="21" xfId="0" applyNumberFormat="1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4" fontId="9" fillId="0" borderId="37" xfId="0" applyNumberFormat="1" applyFont="1" applyFill="1" applyBorder="1" applyAlignment="1" applyProtection="1">
      <alignment horizontal="center"/>
    </xf>
    <xf numFmtId="1" fontId="9" fillId="0" borderId="33" xfId="0" applyNumberFormat="1" applyFont="1" applyFill="1" applyBorder="1" applyAlignment="1" applyProtection="1">
      <alignment horizontal="center"/>
    </xf>
    <xf numFmtId="4" fontId="9" fillId="0" borderId="53" xfId="0" applyNumberFormat="1" applyFont="1" applyFill="1" applyBorder="1" applyAlignment="1" applyProtection="1">
      <alignment horizontal="center"/>
    </xf>
    <xf numFmtId="0" fontId="9" fillId="0" borderId="33" xfId="0" applyFont="1" applyFill="1" applyBorder="1" applyAlignment="1" applyProtection="1">
      <alignment horizontal="center"/>
    </xf>
    <xf numFmtId="164" fontId="12" fillId="0" borderId="37" xfId="0" applyNumberFormat="1" applyFont="1" applyFill="1" applyBorder="1" applyAlignment="1" applyProtection="1">
      <alignment horizontal="center"/>
    </xf>
    <xf numFmtId="0" fontId="9" fillId="0" borderId="26" xfId="0" applyFont="1" applyFill="1" applyBorder="1" applyAlignment="1" applyProtection="1">
      <alignment horizontal="center"/>
    </xf>
    <xf numFmtId="164" fontId="9" fillId="0" borderId="17" xfId="0" applyNumberFormat="1" applyFont="1" applyBorder="1" applyAlignment="1" applyProtection="1">
      <alignment horizontal="center"/>
    </xf>
    <xf numFmtId="164" fontId="9" fillId="0" borderId="16" xfId="0" applyNumberFormat="1" applyFont="1" applyBorder="1" applyAlignment="1" applyProtection="1">
      <alignment horizontal="center"/>
    </xf>
    <xf numFmtId="4" fontId="12" fillId="0" borderId="15" xfId="0" applyNumberFormat="1" applyFont="1" applyFill="1" applyBorder="1" applyAlignment="1" applyProtection="1">
      <alignment horizontal="center"/>
    </xf>
    <xf numFmtId="3" fontId="12" fillId="0" borderId="17" xfId="0" applyNumberFormat="1" applyFont="1" applyFill="1" applyBorder="1" applyAlignment="1" applyProtection="1">
      <alignment horizontal="center"/>
    </xf>
    <xf numFmtId="0" fontId="9" fillId="0" borderId="1" xfId="0" applyFont="1" applyBorder="1"/>
    <xf numFmtId="166" fontId="12" fillId="2" borderId="13" xfId="0" applyNumberFormat="1" applyFont="1" applyFill="1" applyBorder="1" applyAlignment="1" applyProtection="1">
      <alignment horizontal="right"/>
      <protection locked="0"/>
    </xf>
    <xf numFmtId="166" fontId="12" fillId="2" borderId="1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/>
    </xf>
    <xf numFmtId="0" fontId="12" fillId="0" borderId="0" xfId="0" applyFont="1" applyFill="1" applyBorder="1" applyProtection="1"/>
    <xf numFmtId="0" fontId="21" fillId="0" borderId="0" xfId="0" applyFont="1" applyBorder="1" applyProtection="1"/>
    <xf numFmtId="0" fontId="12" fillId="0" borderId="7" xfId="0" applyFont="1" applyBorder="1" applyAlignment="1" applyProtection="1">
      <alignment vertical="center" wrapText="1"/>
    </xf>
    <xf numFmtId="0" fontId="12" fillId="0" borderId="8" xfId="0" applyFont="1" applyBorder="1" applyAlignment="1" applyProtection="1">
      <alignment horizontal="center" vertical="center"/>
    </xf>
    <xf numFmtId="0" fontId="12" fillId="0" borderId="54" xfId="0" applyFont="1" applyBorder="1" applyAlignment="1" applyProtection="1"/>
    <xf numFmtId="0" fontId="12" fillId="4" borderId="17" xfId="0" applyFont="1" applyFill="1" applyBorder="1" applyAlignment="1" applyProtection="1">
      <alignment horizontal="left"/>
    </xf>
    <xf numFmtId="0" fontId="12" fillId="4" borderId="19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Protection="1"/>
    <xf numFmtId="0" fontId="9" fillId="0" borderId="12" xfId="0" applyFont="1" applyFill="1" applyBorder="1" applyAlignment="1" applyProtection="1">
      <alignment horizontal="left" vertical="center"/>
    </xf>
    <xf numFmtId="0" fontId="12" fillId="0" borderId="12" xfId="0" applyFont="1" applyFill="1" applyBorder="1" applyAlignment="1" applyProtection="1">
      <alignment horizontal="left" vertical="center"/>
    </xf>
    <xf numFmtId="0" fontId="12" fillId="4" borderId="14" xfId="0" applyFont="1" applyFill="1" applyBorder="1" applyAlignment="1" applyProtection="1">
      <alignment horizontal="left" vertical="center"/>
    </xf>
    <xf numFmtId="3" fontId="9" fillId="0" borderId="13" xfId="0" applyNumberFormat="1" applyFont="1" applyFill="1" applyBorder="1" applyAlignment="1" applyProtection="1">
      <alignment horizontal="right" vertical="center"/>
    </xf>
    <xf numFmtId="0" fontId="12" fillId="4" borderId="40" xfId="0" applyFont="1" applyFill="1" applyBorder="1" applyAlignment="1" applyProtection="1"/>
    <xf numFmtId="0" fontId="12" fillId="4" borderId="56" xfId="0" applyFont="1" applyFill="1" applyBorder="1" applyAlignment="1" applyProtection="1"/>
    <xf numFmtId="0" fontId="9" fillId="0" borderId="21" xfId="0" applyFont="1" applyBorder="1" applyAlignment="1" applyProtection="1"/>
    <xf numFmtId="0" fontId="9" fillId="0" borderId="3" xfId="0" applyFont="1" applyBorder="1" applyAlignment="1" applyProtection="1"/>
    <xf numFmtId="0" fontId="9" fillId="0" borderId="35" xfId="0" applyFont="1" applyFill="1" applyBorder="1" applyAlignment="1" applyProtection="1">
      <alignment horizontal="left" vertical="center"/>
    </xf>
    <xf numFmtId="0" fontId="9" fillId="0" borderId="20" xfId="0" applyFont="1" applyFill="1" applyBorder="1" applyAlignment="1" applyProtection="1">
      <alignment horizontal="right" vertical="center"/>
    </xf>
    <xf numFmtId="0" fontId="9" fillId="0" borderId="35" xfId="0" applyFont="1" applyBorder="1" applyProtection="1"/>
    <xf numFmtId="0" fontId="9" fillId="0" borderId="20" xfId="0" applyFont="1" applyBorder="1" applyProtection="1"/>
    <xf numFmtId="0" fontId="12" fillId="0" borderId="0" xfId="0" applyFont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left"/>
    </xf>
    <xf numFmtId="0" fontId="9" fillId="3" borderId="0" xfId="0" applyFont="1" applyFill="1" applyBorder="1" applyProtection="1"/>
    <xf numFmtId="0" fontId="9" fillId="0" borderId="30" xfId="0" applyFont="1" applyBorder="1" applyProtection="1"/>
    <xf numFmtId="0" fontId="9" fillId="0" borderId="58" xfId="0" applyFont="1" applyBorder="1" applyAlignment="1" applyProtection="1">
      <alignment horizontal="center"/>
    </xf>
    <xf numFmtId="4" fontId="9" fillId="0" borderId="18" xfId="0" applyNumberFormat="1" applyFont="1" applyFill="1" applyBorder="1" applyAlignment="1" applyProtection="1">
      <alignment horizontal="center"/>
    </xf>
    <xf numFmtId="4" fontId="9" fillId="0" borderId="57" xfId="0" applyNumberFormat="1" applyFont="1" applyFill="1" applyBorder="1" applyAlignment="1" applyProtection="1">
      <alignment horizontal="center"/>
    </xf>
    <xf numFmtId="4" fontId="12" fillId="0" borderId="59" xfId="0" applyNumberFormat="1" applyFont="1" applyFill="1" applyBorder="1" applyAlignment="1" applyProtection="1">
      <alignment horizontal="center"/>
    </xf>
    <xf numFmtId="0" fontId="12" fillId="0" borderId="8" xfId="0" applyFont="1" applyBorder="1" applyAlignment="1" applyProtection="1">
      <alignment vertical="center" wrapText="1"/>
    </xf>
    <xf numFmtId="0" fontId="4" fillId="5" borderId="54" xfId="0" applyFont="1" applyFill="1" applyBorder="1" applyAlignment="1" applyProtection="1">
      <alignment vertical="center"/>
    </xf>
    <xf numFmtId="0" fontId="9" fillId="0" borderId="51" xfId="0" applyFont="1" applyBorder="1" applyAlignment="1" applyProtection="1">
      <alignment horizontal="left" vertical="center"/>
    </xf>
    <xf numFmtId="0" fontId="4" fillId="5" borderId="54" xfId="0" applyFont="1" applyFill="1" applyBorder="1" applyAlignment="1" applyProtection="1">
      <alignment horizontal="left" vertical="center"/>
    </xf>
    <xf numFmtId="0" fontId="24" fillId="0" borderId="12" xfId="0" applyFont="1" applyBorder="1" applyProtection="1"/>
    <xf numFmtId="0" fontId="12" fillId="4" borderId="10" xfId="0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5" fillId="0" borderId="0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</xf>
    <xf numFmtId="0" fontId="5" fillId="0" borderId="18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8" xfId="0" applyFont="1" applyBorder="1"/>
    <xf numFmtId="0" fontId="16" fillId="0" borderId="18" xfId="0" applyFont="1" applyBorder="1" applyAlignment="1" applyProtection="1"/>
    <xf numFmtId="0" fontId="5" fillId="5" borderId="61" xfId="0" applyFont="1" applyFill="1" applyBorder="1"/>
    <xf numFmtId="0" fontId="5" fillId="5" borderId="55" xfId="0" applyFont="1" applyFill="1" applyBorder="1"/>
    <xf numFmtId="0" fontId="5" fillId="5" borderId="31" xfId="0" applyFont="1" applyFill="1" applyBorder="1"/>
    <xf numFmtId="0" fontId="9" fillId="0" borderId="21" xfId="0" applyFont="1" applyBorder="1" applyAlignment="1" applyProtection="1">
      <alignment horizontal="left"/>
    </xf>
    <xf numFmtId="14" fontId="9" fillId="2" borderId="13" xfId="0" applyNumberFormat="1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15" fillId="5" borderId="14" xfId="0" applyFont="1" applyFill="1" applyBorder="1" applyProtection="1"/>
    <xf numFmtId="0" fontId="5" fillId="5" borderId="62" xfId="0" applyFont="1" applyFill="1" applyBorder="1"/>
    <xf numFmtId="0" fontId="9" fillId="5" borderId="62" xfId="0" applyFont="1" applyFill="1" applyBorder="1" applyProtection="1"/>
    <xf numFmtId="0" fontId="12" fillId="5" borderId="54" xfId="0" applyFont="1" applyFill="1" applyBorder="1"/>
    <xf numFmtId="0" fontId="12" fillId="0" borderId="8" xfId="0" applyFont="1" applyFill="1" applyBorder="1" applyAlignment="1" applyProtection="1">
      <alignment horizontal="center"/>
    </xf>
    <xf numFmtId="0" fontId="9" fillId="3" borderId="0" xfId="0" applyFont="1" applyFill="1" applyProtection="1">
      <protection locked="0"/>
    </xf>
    <xf numFmtId="0" fontId="15" fillId="5" borderId="11" xfId="0" applyFont="1" applyFill="1" applyBorder="1" applyProtection="1"/>
    <xf numFmtId="0" fontId="9" fillId="5" borderId="8" xfId="0" applyFont="1" applyFill="1" applyBorder="1" applyProtection="1"/>
    <xf numFmtId="0" fontId="15" fillId="0" borderId="12" xfId="0" applyFont="1" applyBorder="1" applyProtection="1"/>
    <xf numFmtId="0" fontId="15" fillId="2" borderId="13" xfId="0" applyFont="1" applyFill="1" applyBorder="1" applyAlignment="1" applyProtection="1">
      <alignment horizontal="center"/>
      <protection locked="0"/>
    </xf>
    <xf numFmtId="0" fontId="24" fillId="0" borderId="14" xfId="0" applyFont="1" applyBorder="1" applyProtection="1"/>
    <xf numFmtId="0" fontId="12" fillId="2" borderId="10" xfId="0" applyFont="1" applyFill="1" applyBorder="1" applyAlignment="1" applyProtection="1">
      <alignment horizontal="center"/>
      <protection locked="0"/>
    </xf>
    <xf numFmtId="0" fontId="12" fillId="5" borderId="8" xfId="0" applyFont="1" applyFill="1" applyBorder="1" applyAlignment="1" applyProtection="1">
      <alignment horizontal="center"/>
      <protection locked="0"/>
    </xf>
    <xf numFmtId="0" fontId="14" fillId="0" borderId="0" xfId="1" applyFont="1" applyFill="1" applyBorder="1" applyProtection="1">
      <protection locked="0"/>
    </xf>
    <xf numFmtId="0" fontId="9" fillId="0" borderId="0" xfId="0" quotePrefix="1" applyFont="1"/>
    <xf numFmtId="0" fontId="12" fillId="0" borderId="1" xfId="0" applyFont="1" applyBorder="1" applyAlignment="1">
      <alignment horizontal="center"/>
    </xf>
    <xf numFmtId="0" fontId="10" fillId="4" borderId="0" xfId="0" applyFont="1" applyFill="1"/>
    <xf numFmtId="3" fontId="12" fillId="0" borderId="0" xfId="0" applyNumberFormat="1" applyFont="1" applyFill="1" applyBorder="1" applyAlignment="1" applyProtection="1">
      <alignment horizontal="center"/>
    </xf>
    <xf numFmtId="0" fontId="10" fillId="4" borderId="0" xfId="0" applyFont="1" applyFill="1" applyBorder="1"/>
    <xf numFmtId="0" fontId="10" fillId="6" borderId="0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0" fontId="9" fillId="0" borderId="12" xfId="0" applyFont="1" applyBorder="1" applyAlignment="1" applyProtection="1"/>
    <xf numFmtId="0" fontId="12" fillId="0" borderId="7" xfId="0" applyFont="1" applyBorder="1" applyAlignment="1" applyProtection="1"/>
    <xf numFmtId="0" fontId="10" fillId="0" borderId="13" xfId="0" applyFont="1" applyBorder="1" applyAlignment="1" applyProtection="1">
      <alignment wrapText="1"/>
    </xf>
    <xf numFmtId="0" fontId="10" fillId="4" borderId="0" xfId="0" applyFont="1" applyFill="1" applyBorder="1" applyProtection="1"/>
    <xf numFmtId="0" fontId="10" fillId="6" borderId="0" xfId="0" applyFont="1" applyFill="1" applyBorder="1" applyProtection="1"/>
    <xf numFmtId="164" fontId="12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9" fontId="12" fillId="0" borderId="0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9" fillId="5" borderId="47" xfId="0" applyFont="1" applyFill="1" applyBorder="1" applyProtection="1"/>
    <xf numFmtId="0" fontId="12" fillId="0" borderId="11" xfId="0" applyFont="1" applyFill="1" applyBorder="1" applyProtection="1"/>
    <xf numFmtId="0" fontId="9" fillId="0" borderId="14" xfId="0" applyFont="1" applyFill="1" applyBorder="1" applyAlignment="1" applyProtection="1"/>
    <xf numFmtId="0" fontId="12" fillId="0" borderId="7" xfId="0" applyFont="1" applyBorder="1" applyAlignment="1" applyProtection="1">
      <alignment wrapText="1"/>
    </xf>
    <xf numFmtId="0" fontId="0" fillId="0" borderId="55" xfId="0" applyBorder="1" applyAlignment="1" applyProtection="1"/>
    <xf numFmtId="0" fontId="9" fillId="0" borderId="40" xfId="0" applyFont="1" applyFill="1" applyBorder="1" applyAlignment="1" applyProtection="1">
      <alignment horizontal="left"/>
    </xf>
    <xf numFmtId="0" fontId="9" fillId="0" borderId="56" xfId="0" applyFont="1" applyFill="1" applyBorder="1" applyAlignment="1" applyProtection="1">
      <alignment horizontal="left"/>
    </xf>
    <xf numFmtId="0" fontId="16" fillId="0" borderId="0" xfId="0" applyFont="1" applyProtection="1"/>
    <xf numFmtId="0" fontId="12" fillId="4" borderId="29" xfId="0" applyFont="1" applyFill="1" applyBorder="1" applyAlignment="1" applyProtection="1">
      <alignment horizontal="left" vertical="top"/>
    </xf>
    <xf numFmtId="0" fontId="9" fillId="4" borderId="31" xfId="0" applyFont="1" applyFill="1" applyBorder="1" applyProtection="1"/>
    <xf numFmtId="0" fontId="12" fillId="4" borderId="29" xfId="0" applyFont="1" applyFill="1" applyBorder="1" applyAlignment="1" applyProtection="1">
      <alignment horizontal="left"/>
    </xf>
    <xf numFmtId="0" fontId="9" fillId="0" borderId="51" xfId="0" applyFont="1" applyBorder="1" applyAlignment="1" applyProtection="1">
      <alignment horizontal="left"/>
    </xf>
    <xf numFmtId="0" fontId="9" fillId="0" borderId="52" xfId="0" applyFont="1" applyBorder="1" applyAlignment="1" applyProtection="1">
      <alignment horizontal="right"/>
    </xf>
    <xf numFmtId="3" fontId="12" fillId="0" borderId="52" xfId="0" applyNumberFormat="1" applyFont="1" applyFill="1" applyBorder="1" applyAlignment="1" applyProtection="1">
      <alignment horizontal="right"/>
    </xf>
    <xf numFmtId="0" fontId="9" fillId="0" borderId="51" xfId="0" applyFont="1" applyBorder="1" applyAlignment="1" applyProtection="1">
      <alignment horizontal="left" vertical="top"/>
    </xf>
    <xf numFmtId="3" fontId="9" fillId="0" borderId="52" xfId="0" applyNumberFormat="1" applyFont="1" applyFill="1" applyBorder="1" applyAlignment="1" applyProtection="1">
      <alignment horizontal="right"/>
    </xf>
    <xf numFmtId="0" fontId="9" fillId="0" borderId="39" xfId="0" applyFont="1" applyBorder="1" applyAlignment="1" applyProtection="1">
      <alignment horizontal="left" vertical="top"/>
    </xf>
    <xf numFmtId="3" fontId="9" fillId="0" borderId="50" xfId="0" applyNumberFormat="1" applyFont="1" applyFill="1" applyBorder="1" applyAlignment="1" applyProtection="1">
      <alignment horizontal="right"/>
    </xf>
    <xf numFmtId="0" fontId="9" fillId="0" borderId="39" xfId="0" applyFont="1" applyBorder="1" applyAlignment="1" applyProtection="1">
      <alignment horizontal="left"/>
    </xf>
    <xf numFmtId="3" fontId="12" fillId="0" borderId="50" xfId="0" applyNumberFormat="1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left"/>
    </xf>
    <xf numFmtId="3" fontId="12" fillId="0" borderId="0" xfId="0" applyNumberFormat="1" applyFont="1" applyFill="1" applyBorder="1" applyAlignment="1" applyProtection="1">
      <alignment horizontal="right"/>
    </xf>
    <xf numFmtId="0" fontId="12" fillId="4" borderId="29" xfId="0" applyFont="1" applyFill="1" applyBorder="1" applyProtection="1"/>
    <xf numFmtId="0" fontId="9" fillId="0" borderId="52" xfId="0" applyNumberFormat="1" applyFont="1" applyFill="1" applyBorder="1" applyAlignment="1" applyProtection="1">
      <alignment horizontal="right"/>
    </xf>
    <xf numFmtId="0" fontId="9" fillId="0" borderId="51" xfId="0" applyFont="1" applyFill="1" applyBorder="1" applyProtection="1"/>
    <xf numFmtId="0" fontId="12" fillId="0" borderId="52" xfId="0" applyNumberFormat="1" applyFont="1" applyFill="1" applyBorder="1" applyAlignment="1" applyProtection="1">
      <alignment horizontal="right"/>
    </xf>
    <xf numFmtId="164" fontId="16" fillId="0" borderId="0" xfId="0" applyNumberFormat="1" applyFont="1" applyBorder="1" applyProtection="1"/>
    <xf numFmtId="164" fontId="9" fillId="0" borderId="0" xfId="0" applyNumberFormat="1" applyFont="1" applyBorder="1" applyProtection="1"/>
    <xf numFmtId="164" fontId="12" fillId="0" borderId="0" xfId="0" applyNumberFormat="1" applyFont="1" applyBorder="1" applyProtection="1"/>
    <xf numFmtId="0" fontId="9" fillId="0" borderId="39" xfId="0" applyFont="1" applyFill="1" applyBorder="1" applyProtection="1"/>
    <xf numFmtId="0" fontId="12" fillId="0" borderId="50" xfId="0" applyNumberFormat="1" applyFont="1" applyFill="1" applyBorder="1" applyAlignment="1" applyProtection="1">
      <alignment horizontal="right"/>
    </xf>
    <xf numFmtId="4" fontId="16" fillId="0" borderId="0" xfId="0" applyNumberFormat="1" applyFont="1" applyBorder="1" applyProtection="1"/>
    <xf numFmtId="0" fontId="26" fillId="4" borderId="15" xfId="0" applyFont="1" applyFill="1" applyBorder="1" applyAlignment="1" applyProtection="1">
      <alignment horizontal="left" vertical="top" wrapText="1"/>
    </xf>
    <xf numFmtId="0" fontId="9" fillId="0" borderId="39" xfId="0" applyFont="1" applyBorder="1" applyProtection="1"/>
    <xf numFmtId="4" fontId="9" fillId="0" borderId="0" xfId="0" applyNumberFormat="1" applyFont="1" applyBorder="1" applyProtection="1"/>
    <xf numFmtId="4" fontId="12" fillId="0" borderId="0" xfId="0" applyNumberFormat="1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4" fontId="9" fillId="0" borderId="0" xfId="0" applyNumberFormat="1" applyFont="1" applyFill="1" applyBorder="1" applyAlignment="1" applyProtection="1">
      <alignment horizontal="right"/>
    </xf>
    <xf numFmtId="4" fontId="12" fillId="0" borderId="0" xfId="0" applyNumberFormat="1" applyFont="1" applyBorder="1" applyProtection="1"/>
    <xf numFmtId="0" fontId="9" fillId="0" borderId="0" xfId="0" applyFont="1" applyFill="1" applyBorder="1" applyAlignment="1" applyProtection="1"/>
    <xf numFmtId="166" fontId="12" fillId="4" borderId="31" xfId="0" applyNumberFormat="1" applyFont="1" applyFill="1" applyBorder="1" applyAlignment="1" applyProtection="1">
      <alignment horizontal="right"/>
    </xf>
    <xf numFmtId="166" fontId="9" fillId="0" borderId="52" xfId="0" applyNumberFormat="1" applyFont="1" applyFill="1" applyBorder="1" applyAlignment="1" applyProtection="1">
      <alignment horizontal="right"/>
    </xf>
    <xf numFmtId="166" fontId="9" fillId="0" borderId="50" xfId="0" applyNumberFormat="1" applyFont="1" applyFill="1" applyBorder="1" applyAlignment="1" applyProtection="1">
      <alignment horizontal="right"/>
    </xf>
    <xf numFmtId="166" fontId="9" fillId="0" borderId="52" xfId="0" applyNumberFormat="1" applyFont="1" applyBorder="1" applyProtection="1"/>
    <xf numFmtId="166" fontId="26" fillId="4" borderId="24" xfId="0" applyNumberFormat="1" applyFont="1" applyFill="1" applyBorder="1" applyAlignment="1" applyProtection="1">
      <alignment horizontal="right" vertical="center"/>
    </xf>
    <xf numFmtId="166" fontId="12" fillId="0" borderId="13" xfId="0" applyNumberFormat="1" applyFont="1" applyFill="1" applyBorder="1" applyAlignment="1" applyProtection="1">
      <alignment horizontal="right" vertical="center"/>
    </xf>
    <xf numFmtId="0" fontId="9" fillId="0" borderId="51" xfId="0" applyFont="1" applyBorder="1" applyProtection="1"/>
    <xf numFmtId="0" fontId="9" fillId="0" borderId="52" xfId="0" applyFont="1" applyBorder="1" applyProtection="1"/>
    <xf numFmtId="0" fontId="9" fillId="0" borderId="50" xfId="0" applyFont="1" applyBorder="1" applyProtection="1"/>
    <xf numFmtId="166" fontId="12" fillId="0" borderId="13" xfId="0" applyNumberFormat="1" applyFont="1" applyFill="1" applyBorder="1" applyProtection="1"/>
    <xf numFmtId="166" fontId="9" fillId="2" borderId="13" xfId="0" applyNumberFormat="1" applyFont="1" applyFill="1" applyBorder="1" applyProtection="1">
      <protection locked="0"/>
    </xf>
    <xf numFmtId="166" fontId="12" fillId="4" borderId="34" xfId="0" quotePrefix="1" applyNumberFormat="1" applyFont="1" applyFill="1" applyBorder="1" applyProtection="1"/>
    <xf numFmtId="166" fontId="12" fillId="4" borderId="16" xfId="0" applyNumberFormat="1" applyFont="1" applyFill="1" applyBorder="1" applyProtection="1"/>
    <xf numFmtId="4" fontId="8" fillId="5" borderId="47" xfId="0" applyNumberFormat="1" applyFont="1" applyFill="1" applyBorder="1" applyAlignment="1" applyProtection="1">
      <alignment horizontal="center"/>
    </xf>
    <xf numFmtId="166" fontId="9" fillId="2" borderId="48" xfId="0" applyNumberFormat="1" applyFont="1" applyFill="1" applyBorder="1" applyAlignment="1" applyProtection="1">
      <alignment horizontal="right"/>
      <protection locked="0"/>
    </xf>
    <xf numFmtId="166" fontId="12" fillId="0" borderId="49" xfId="0" applyNumberFormat="1" applyFont="1" applyFill="1" applyBorder="1" applyAlignment="1" applyProtection="1">
      <alignment horizontal="right"/>
    </xf>
    <xf numFmtId="44" fontId="9" fillId="0" borderId="13" xfId="0" applyNumberFormat="1" applyFont="1" applyFill="1" applyBorder="1" applyAlignment="1" applyProtection="1">
      <alignment horizontal="right"/>
    </xf>
    <xf numFmtId="166" fontId="9" fillId="0" borderId="1" xfId="0" applyNumberFormat="1" applyFont="1" applyFill="1" applyBorder="1" applyAlignment="1" applyProtection="1">
      <alignment horizontal="center"/>
    </xf>
    <xf numFmtId="166" fontId="12" fillId="0" borderId="13" xfId="0" applyNumberFormat="1" applyFont="1" applyFill="1" applyBorder="1" applyAlignment="1" applyProtection="1">
      <alignment horizontal="center"/>
    </xf>
    <xf numFmtId="166" fontId="12" fillId="0" borderId="9" xfId="0" applyNumberFormat="1" applyFont="1" applyFill="1" applyBorder="1" applyAlignment="1" applyProtection="1">
      <alignment horizontal="center"/>
    </xf>
    <xf numFmtId="166" fontId="12" fillId="4" borderId="10" xfId="0" applyNumberFormat="1" applyFont="1" applyFill="1" applyBorder="1" applyAlignment="1" applyProtection="1">
      <alignment horizontal="center"/>
    </xf>
    <xf numFmtId="166" fontId="12" fillId="4" borderId="10" xfId="0" applyNumberFormat="1" applyFont="1" applyFill="1" applyBorder="1" applyAlignment="1" applyProtection="1">
      <alignment horizontal="right" vertical="center"/>
    </xf>
    <xf numFmtId="166" fontId="12" fillId="0" borderId="1" xfId="0" applyNumberFormat="1" applyFont="1" applyFill="1" applyBorder="1" applyAlignment="1" applyProtection="1">
      <alignment horizontal="center" wrapText="1"/>
    </xf>
    <xf numFmtId="166" fontId="12" fillId="0" borderId="1" xfId="0" applyNumberFormat="1" applyFont="1" applyFill="1" applyBorder="1" applyAlignment="1" applyProtection="1">
      <alignment horizontal="center"/>
    </xf>
    <xf numFmtId="166" fontId="12" fillId="0" borderId="5" xfId="0" applyNumberFormat="1" applyFont="1" applyFill="1" applyBorder="1" applyAlignment="1" applyProtection="1">
      <alignment horizontal="center" wrapText="1"/>
    </xf>
    <xf numFmtId="166" fontId="12" fillId="0" borderId="5" xfId="0" applyNumberFormat="1" applyFont="1" applyFill="1" applyBorder="1" applyAlignment="1" applyProtection="1">
      <alignment horizontal="center"/>
    </xf>
    <xf numFmtId="166" fontId="9" fillId="0" borderId="5" xfId="0" applyNumberFormat="1" applyFont="1" applyFill="1" applyBorder="1" applyAlignment="1" applyProtection="1">
      <alignment horizontal="center"/>
    </xf>
    <xf numFmtId="166" fontId="12" fillId="0" borderId="34" xfId="0" applyNumberFormat="1" applyFont="1" applyFill="1" applyBorder="1" applyAlignment="1" applyProtection="1">
      <alignment horizontal="center"/>
    </xf>
    <xf numFmtId="166" fontId="12" fillId="4" borderId="19" xfId="0" applyNumberFormat="1" applyFont="1" applyFill="1" applyBorder="1" applyAlignment="1" applyProtection="1">
      <alignment horizontal="center" wrapText="1"/>
    </xf>
    <xf numFmtId="166" fontId="12" fillId="4" borderId="19" xfId="0" applyNumberFormat="1" applyFont="1" applyFill="1" applyBorder="1" applyAlignment="1" applyProtection="1">
      <alignment horizontal="center"/>
    </xf>
    <xf numFmtId="166" fontId="12" fillId="4" borderId="16" xfId="0" applyNumberFormat="1" applyFont="1" applyFill="1" applyBorder="1" applyAlignment="1" applyProtection="1">
      <alignment horizontal="center"/>
    </xf>
    <xf numFmtId="166" fontId="12" fillId="2" borderId="13" xfId="0" applyNumberFormat="1" applyFont="1" applyFill="1" applyBorder="1" applyProtection="1">
      <protection locked="0"/>
    </xf>
    <xf numFmtId="166" fontId="12" fillId="4" borderId="10" xfId="0" applyNumberFormat="1" applyFont="1" applyFill="1" applyBorder="1" applyProtection="1"/>
    <xf numFmtId="0" fontId="9" fillId="0" borderId="63" xfId="0" applyFont="1" applyFill="1" applyBorder="1" applyProtection="1"/>
    <xf numFmtId="0" fontId="4" fillId="5" borderId="29" xfId="0" applyFont="1" applyFill="1" applyBorder="1" applyAlignment="1" applyProtection="1">
      <alignment vertical="center"/>
    </xf>
    <xf numFmtId="0" fontId="6" fillId="5" borderId="30" xfId="0" applyFont="1" applyFill="1" applyBorder="1" applyProtection="1"/>
    <xf numFmtId="166" fontId="9" fillId="0" borderId="48" xfId="0" applyNumberFormat="1" applyFont="1" applyBorder="1" applyProtection="1"/>
    <xf numFmtId="0" fontId="9" fillId="0" borderId="32" xfId="0" applyFont="1" applyBorder="1" applyAlignment="1" applyProtection="1"/>
    <xf numFmtId="0" fontId="9" fillId="0" borderId="6" xfId="0" applyFont="1" applyBorder="1" applyAlignment="1" applyProtection="1"/>
    <xf numFmtId="0" fontId="9" fillId="0" borderId="3" xfId="0" applyFont="1" applyBorder="1" applyProtection="1"/>
    <xf numFmtId="0" fontId="9" fillId="0" borderId="21" xfId="0" applyFont="1" applyBorder="1" applyProtection="1"/>
    <xf numFmtId="0" fontId="9" fillId="0" borderId="21" xfId="0" applyFont="1" applyFill="1" applyBorder="1" applyAlignment="1" applyProtection="1">
      <alignment horizontal="left"/>
    </xf>
    <xf numFmtId="0" fontId="19" fillId="4" borderId="0" xfId="0" applyFont="1" applyFill="1" applyBorder="1" applyAlignment="1" applyProtection="1">
      <alignment horizontal="center"/>
    </xf>
    <xf numFmtId="0" fontId="19" fillId="6" borderId="0" xfId="0" applyFont="1" applyFill="1" applyBorder="1" applyAlignment="1" applyProtection="1">
      <alignment horizontal="center"/>
    </xf>
    <xf numFmtId="3" fontId="9" fillId="0" borderId="9" xfId="0" applyNumberFormat="1" applyFont="1" applyFill="1" applyBorder="1" applyAlignment="1" applyProtection="1">
      <alignment horizontal="center"/>
    </xf>
    <xf numFmtId="3" fontId="12" fillId="0" borderId="9" xfId="0" applyNumberFormat="1" applyFont="1" applyFill="1" applyBorder="1" applyAlignment="1" applyProtection="1">
      <alignment horizontal="center" vertical="center"/>
    </xf>
    <xf numFmtId="3" fontId="12" fillId="0" borderId="10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/>
    </xf>
    <xf numFmtId="166" fontId="12" fillId="2" borderId="48" xfId="0" applyNumberFormat="1" applyFont="1" applyFill="1" applyBorder="1" applyAlignment="1" applyProtection="1">
      <alignment horizontal="right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166" fontId="9" fillId="0" borderId="13" xfId="0" applyNumberFormat="1" applyFont="1" applyFill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"/>
    </xf>
    <xf numFmtId="0" fontId="12" fillId="4" borderId="14" xfId="0" applyFont="1" applyFill="1" applyBorder="1" applyAlignment="1" applyProtection="1">
      <alignment horizontal="left"/>
    </xf>
    <xf numFmtId="164" fontId="12" fillId="4" borderId="9" xfId="0" applyNumberFormat="1" applyFont="1" applyFill="1" applyBorder="1" applyAlignment="1" applyProtection="1">
      <alignment horizontal="center"/>
    </xf>
    <xf numFmtId="166" fontId="12" fillId="4" borderId="9" xfId="0" applyNumberFormat="1" applyFont="1" applyFill="1" applyBorder="1" applyAlignment="1" applyProtection="1">
      <alignment horizontal="center"/>
    </xf>
    <xf numFmtId="0" fontId="10" fillId="4" borderId="64" xfId="0" applyFont="1" applyFill="1" applyBorder="1" applyAlignment="1" applyProtection="1"/>
    <xf numFmtId="0" fontId="10" fillId="0" borderId="0" xfId="0" applyFont="1" applyFill="1" applyBorder="1" applyAlignment="1" applyProtection="1"/>
    <xf numFmtId="0" fontId="12" fillId="4" borderId="9" xfId="0" applyFont="1" applyFill="1" applyBorder="1" applyAlignment="1" applyProtection="1">
      <alignment horizontal="center"/>
    </xf>
    <xf numFmtId="0" fontId="4" fillId="4" borderId="10" xfId="0" applyFont="1" applyFill="1" applyBorder="1" applyAlignment="1" applyProtection="1">
      <alignment horizontal="center"/>
    </xf>
    <xf numFmtId="0" fontId="10" fillId="4" borderId="0" xfId="0" applyFont="1" applyFill="1" applyProtection="1"/>
    <xf numFmtId="0" fontId="10" fillId="0" borderId="0" xfId="0" applyFont="1" applyFill="1" applyBorder="1" applyProtection="1"/>
    <xf numFmtId="0" fontId="3" fillId="0" borderId="0" xfId="0" applyFont="1" applyFill="1" applyBorder="1" applyProtection="1"/>
    <xf numFmtId="0" fontId="15" fillId="0" borderId="0" xfId="0" applyFont="1" applyFill="1" applyBorder="1" applyAlignment="1" applyProtection="1"/>
    <xf numFmtId="0" fontId="12" fillId="0" borderId="8" xfId="0" applyFont="1" applyBorder="1" applyAlignment="1" applyProtection="1">
      <alignment wrapText="1"/>
    </xf>
    <xf numFmtId="0" fontId="9" fillId="0" borderId="4" xfId="0" applyFont="1" applyBorder="1" applyAlignment="1" applyProtection="1">
      <protection locked="0"/>
    </xf>
    <xf numFmtId="0" fontId="9" fillId="0" borderId="18" xfId="0" applyFont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9" fillId="0" borderId="0" xfId="0" quotePrefix="1" applyFont="1" applyProtection="1"/>
    <xf numFmtId="0" fontId="3" fillId="0" borderId="10" xfId="0" applyFon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vertical="center"/>
    </xf>
    <xf numFmtId="0" fontId="1" fillId="0" borderId="55" xfId="0" applyFont="1" applyFill="1" applyBorder="1" applyAlignment="1" applyProtection="1">
      <alignment horizontal="left"/>
    </xf>
    <xf numFmtId="0" fontId="1" fillId="0" borderId="7" xfId="0" applyFont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3" fillId="0" borderId="0" xfId="0" applyFont="1" applyProtection="1"/>
    <xf numFmtId="0" fontId="1" fillId="5" borderId="54" xfId="0" applyFont="1" applyFill="1" applyBorder="1" applyAlignment="1" applyProtection="1">
      <alignment vertical="center"/>
    </xf>
    <xf numFmtId="4" fontId="3" fillId="5" borderId="47" xfId="0" applyNumberFormat="1" applyFont="1" applyFill="1" applyBorder="1" applyProtection="1"/>
    <xf numFmtId="0" fontId="1" fillId="0" borderId="60" xfId="0" applyFont="1" applyBorder="1" applyAlignment="1" applyProtection="1">
      <alignment vertical="center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66" fontId="1" fillId="0" borderId="13" xfId="0" applyNumberFormat="1" applyFont="1" applyFill="1" applyBorder="1" applyAlignment="1" applyProtection="1">
      <alignment horizontal="right" vertical="center"/>
    </xf>
    <xf numFmtId="0" fontId="3" fillId="0" borderId="35" xfId="0" applyFont="1" applyBorder="1" applyAlignment="1" applyProtection="1">
      <alignment horizontal="left" vertical="center"/>
    </xf>
    <xf numFmtId="166" fontId="3" fillId="0" borderId="20" xfId="0" applyNumberFormat="1" applyFont="1" applyFill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horizontal="left" vertical="center"/>
    </xf>
    <xf numFmtId="166" fontId="3" fillId="0" borderId="13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/>
    </xf>
    <xf numFmtId="3" fontId="3" fillId="0" borderId="13" xfId="0" applyNumberFormat="1" applyFont="1" applyFill="1" applyBorder="1" applyAlignment="1" applyProtection="1">
      <alignment horizontal="right" vertical="center"/>
    </xf>
    <xf numFmtId="0" fontId="1" fillId="0" borderId="33" xfId="0" applyFont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right" vertical="center"/>
    </xf>
    <xf numFmtId="0" fontId="1" fillId="0" borderId="35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left" wrapText="1"/>
    </xf>
    <xf numFmtId="0" fontId="1" fillId="5" borderId="14" xfId="0" applyFont="1" applyFill="1" applyBorder="1" applyAlignment="1" applyProtection="1">
      <alignment horizontal="left" vertical="center" wrapText="1"/>
    </xf>
    <xf numFmtId="166" fontId="1" fillId="5" borderId="10" xfId="0" applyNumberFormat="1" applyFont="1" applyFill="1" applyBorder="1" applyAlignment="1" applyProtection="1">
      <alignment horizontal="right" vertical="center"/>
    </xf>
    <xf numFmtId="0" fontId="1" fillId="4" borderId="14" xfId="0" applyFont="1" applyFill="1" applyBorder="1" applyProtection="1"/>
    <xf numFmtId="0" fontId="1" fillId="4" borderId="9" xfId="0" applyFont="1" applyFill="1" applyBorder="1" applyProtection="1"/>
    <xf numFmtId="166" fontId="1" fillId="4" borderId="10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4" fontId="1" fillId="0" borderId="0" xfId="0" applyNumberFormat="1" applyFont="1" applyBorder="1" applyAlignment="1" applyProtection="1">
      <alignment horizontal="center"/>
    </xf>
    <xf numFmtId="0" fontId="28" fillId="0" borderId="0" xfId="0" applyFont="1" applyBorder="1" applyProtection="1"/>
    <xf numFmtId="0" fontId="3" fillId="0" borderId="0" xfId="0" applyFont="1" applyBorder="1" applyProtection="1"/>
    <xf numFmtId="0" fontId="1" fillId="0" borderId="0" xfId="0" applyFont="1" applyBorder="1" applyAlignment="1" applyProtection="1">
      <alignment horizontal="left" vertical="center"/>
    </xf>
    <xf numFmtId="0" fontId="1" fillId="0" borderId="61" xfId="0" applyFont="1" applyBorder="1" applyProtection="1"/>
    <xf numFmtId="4" fontId="1" fillId="0" borderId="8" xfId="0" applyNumberFormat="1" applyFont="1" applyBorder="1" applyAlignment="1" applyProtection="1">
      <alignment horizontal="center"/>
    </xf>
    <xf numFmtId="166" fontId="1" fillId="2" borderId="13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 applyBorder="1" applyProtection="1"/>
    <xf numFmtId="0" fontId="1" fillId="2" borderId="3" xfId="0" applyFont="1" applyFill="1" applyBorder="1" applyProtection="1">
      <protection locked="0"/>
    </xf>
    <xf numFmtId="0" fontId="1" fillId="0" borderId="1" xfId="0" applyFont="1" applyBorder="1" applyProtection="1"/>
    <xf numFmtId="166" fontId="3" fillId="0" borderId="13" xfId="0" applyNumberFormat="1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left" wrapText="1"/>
    </xf>
    <xf numFmtId="0" fontId="1" fillId="4" borderId="14" xfId="0" applyFont="1" applyFill="1" applyBorder="1" applyAlignment="1" applyProtection="1">
      <alignment horizontal="left" vertical="center"/>
    </xf>
    <xf numFmtId="0" fontId="10" fillId="0" borderId="51" xfId="0" applyFont="1" applyBorder="1" applyAlignment="1" applyProtection="1">
      <alignment horizontal="left" vertical="center"/>
    </xf>
    <xf numFmtId="166" fontId="10" fillId="0" borderId="52" xfId="0" applyNumberFormat="1" applyFont="1" applyBorder="1" applyProtection="1"/>
    <xf numFmtId="0" fontId="10" fillId="0" borderId="39" xfId="0" applyFont="1" applyBorder="1" applyAlignment="1" applyProtection="1">
      <alignment vertical="top"/>
    </xf>
    <xf numFmtId="166" fontId="10" fillId="0" borderId="50" xfId="0" applyNumberFormat="1" applyFont="1" applyBorder="1" applyAlignment="1" applyProtection="1">
      <alignment vertical="top"/>
    </xf>
    <xf numFmtId="0" fontId="12" fillId="0" borderId="55" xfId="0" applyFont="1" applyBorder="1" applyProtection="1"/>
    <xf numFmtId="0" fontId="12" fillId="0" borderId="2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0" fontId="12" fillId="0" borderId="65" xfId="0" applyFont="1" applyBorder="1" applyAlignment="1" applyProtection="1">
      <alignment horizontal="left"/>
    </xf>
    <xf numFmtId="0" fontId="9" fillId="0" borderId="61" xfId="0" applyFont="1" applyBorder="1" applyAlignment="1" applyProtection="1">
      <alignment horizontal="center"/>
    </xf>
    <xf numFmtId="0" fontId="9" fillId="0" borderId="55" xfId="0" applyFont="1" applyBorder="1" applyProtection="1"/>
    <xf numFmtId="0" fontId="3" fillId="0" borderId="0" xfId="0" applyFont="1" applyProtection="1"/>
    <xf numFmtId="0" fontId="0" fillId="0" borderId="0" xfId="0" applyFont="1" applyFill="1" applyBorder="1"/>
    <xf numFmtId="0" fontId="12" fillId="4" borderId="15" xfId="0" applyFont="1" applyFill="1" applyBorder="1" applyAlignment="1">
      <alignment horizontal="center"/>
    </xf>
    <xf numFmtId="0" fontId="12" fillId="4" borderId="59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15" fillId="4" borderId="15" xfId="0" applyFont="1" applyFill="1" applyBorder="1" applyAlignment="1" applyProtection="1">
      <alignment horizontal="center"/>
      <protection locked="0"/>
    </xf>
    <xf numFmtId="0" fontId="15" fillId="4" borderId="59" xfId="0" applyFont="1" applyFill="1" applyBorder="1" applyAlignment="1" applyProtection="1">
      <alignment horizontal="center"/>
      <protection locked="0"/>
    </xf>
    <xf numFmtId="0" fontId="15" fillId="4" borderId="24" xfId="0" applyFont="1" applyFill="1" applyBorder="1" applyAlignment="1" applyProtection="1">
      <alignment horizontal="center"/>
      <protection locked="0"/>
    </xf>
    <xf numFmtId="0" fontId="15" fillId="4" borderId="15" xfId="0" applyFont="1" applyFill="1" applyBorder="1" applyAlignment="1" applyProtection="1">
      <alignment horizontal="center"/>
    </xf>
    <xf numFmtId="0" fontId="15" fillId="4" borderId="59" xfId="0" applyFont="1" applyFill="1" applyBorder="1" applyAlignment="1" applyProtection="1">
      <alignment horizontal="center"/>
    </xf>
    <xf numFmtId="0" fontId="15" fillId="4" borderId="24" xfId="0" applyFont="1" applyFill="1" applyBorder="1" applyAlignment="1" applyProtection="1">
      <alignment horizontal="center"/>
    </xf>
    <xf numFmtId="0" fontId="12" fillId="0" borderId="42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54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/>
    <xf numFmtId="0" fontId="9" fillId="0" borderId="1" xfId="0" applyFont="1" applyBorder="1" applyAlignment="1" applyProtection="1"/>
    <xf numFmtId="0" fontId="31" fillId="0" borderId="27" xfId="0" applyFont="1" applyBorder="1" applyAlignment="1">
      <alignment wrapText="1"/>
    </xf>
    <xf numFmtId="0" fontId="31" fillId="0" borderId="31" xfId="0" applyFont="1" applyBorder="1" applyAlignment="1" applyProtection="1">
      <alignment horizontal="right" vertical="center" wrapText="1"/>
    </xf>
    <xf numFmtId="49" fontId="0" fillId="0" borderId="29" xfId="0" applyNumberFormat="1" applyBorder="1" applyAlignment="1">
      <alignment horizontal="left" vertical="center"/>
    </xf>
    <xf numFmtId="4" fontId="31" fillId="7" borderId="27" xfId="0" applyNumberFormat="1" applyFont="1" applyFill="1" applyBorder="1" applyAlignment="1">
      <alignment vertical="center"/>
    </xf>
    <xf numFmtId="166" fontId="31" fillId="0" borderId="31" xfId="0" applyNumberFormat="1" applyFont="1" applyFill="1" applyBorder="1" applyAlignment="1">
      <alignment vertical="center"/>
    </xf>
    <xf numFmtId="49" fontId="0" fillId="0" borderId="51" xfId="0" applyNumberFormat="1" applyBorder="1" applyAlignment="1">
      <alignment horizontal="left" vertical="center"/>
    </xf>
    <xf numFmtId="4" fontId="31" fillId="7" borderId="66" xfId="0" applyNumberFormat="1" applyFont="1" applyFill="1" applyBorder="1" applyAlignment="1">
      <alignment vertical="center"/>
    </xf>
    <xf numFmtId="166" fontId="31" fillId="0" borderId="52" xfId="0" applyNumberFormat="1" applyFont="1" applyFill="1" applyBorder="1" applyAlignment="1">
      <alignment vertical="center"/>
    </xf>
    <xf numFmtId="166" fontId="31" fillId="0" borderId="52" xfId="0" applyNumberFormat="1" applyFont="1" applyFill="1" applyBorder="1" applyAlignment="1">
      <alignment horizontal="right" vertical="center"/>
    </xf>
    <xf numFmtId="49" fontId="29" fillId="0" borderId="51" xfId="0" applyNumberFormat="1" applyFont="1" applyBorder="1" applyAlignment="1">
      <alignment horizontal="left" vertical="center"/>
    </xf>
    <xf numFmtId="49" fontId="29" fillId="0" borderId="39" xfId="0" applyNumberFormat="1" applyFont="1" applyBorder="1" applyAlignment="1">
      <alignment horizontal="left" vertical="center"/>
    </xf>
    <xf numFmtId="166" fontId="31" fillId="0" borderId="50" xfId="0" applyNumberFormat="1" applyFont="1" applyFill="1" applyBorder="1" applyAlignment="1">
      <alignment vertical="center"/>
    </xf>
    <xf numFmtId="166" fontId="31" fillId="0" borderId="31" xfId="0" applyNumberFormat="1" applyFont="1" applyFill="1" applyBorder="1" applyAlignment="1">
      <alignment horizontal="right" vertical="center"/>
    </xf>
    <xf numFmtId="49" fontId="0" fillId="0" borderId="39" xfId="0" applyNumberFormat="1" applyBorder="1" applyAlignment="1">
      <alignment horizontal="left" vertical="center"/>
    </xf>
    <xf numFmtId="166" fontId="31" fillId="0" borderId="50" xfId="0" applyNumberFormat="1" applyFont="1" applyFill="1" applyBorder="1" applyAlignment="1">
      <alignment horizontal="right" vertical="center"/>
    </xf>
    <xf numFmtId="49" fontId="0" fillId="0" borderId="51" xfId="0" applyNumberFormat="1" applyFill="1" applyBorder="1" applyAlignment="1">
      <alignment horizontal="left" vertical="center"/>
    </xf>
    <xf numFmtId="49" fontId="0" fillId="0" borderId="15" xfId="0" applyNumberFormat="1" applyBorder="1" applyAlignment="1">
      <alignment horizontal="left" vertical="center"/>
    </xf>
    <xf numFmtId="166" fontId="31" fillId="0" borderId="24" xfId="0" applyNumberFormat="1" applyFont="1" applyBorder="1" applyAlignment="1">
      <alignment horizontal="right" vertical="center"/>
    </xf>
    <xf numFmtId="166" fontId="31" fillId="0" borderId="52" xfId="0" applyNumberFormat="1" applyFont="1" applyBorder="1" applyAlignment="1">
      <alignment horizontal="right" vertical="center"/>
    </xf>
    <xf numFmtId="166" fontId="31" fillId="0" borderId="50" xfId="0" applyNumberFormat="1" applyFont="1" applyBorder="1" applyAlignment="1">
      <alignment horizontal="right" vertical="center"/>
    </xf>
    <xf numFmtId="166" fontId="31" fillId="7" borderId="31" xfId="0" applyNumberFormat="1" applyFont="1" applyFill="1" applyBorder="1" applyAlignment="1">
      <alignment horizontal="right" vertical="center"/>
    </xf>
    <xf numFmtId="166" fontId="31" fillId="7" borderId="52" xfId="0" applyNumberFormat="1" applyFont="1" applyFill="1" applyBorder="1" applyAlignment="1">
      <alignment horizontal="right" vertical="center"/>
    </xf>
    <xf numFmtId="4" fontId="31" fillId="7" borderId="43" xfId="0" applyNumberFormat="1" applyFont="1" applyFill="1" applyBorder="1" applyAlignment="1">
      <alignment vertical="center"/>
    </xf>
    <xf numFmtId="166" fontId="31" fillId="7" borderId="50" xfId="0" applyNumberFormat="1" applyFont="1" applyFill="1" applyBorder="1" applyAlignment="1">
      <alignment horizontal="right" vertical="center"/>
    </xf>
    <xf numFmtId="49" fontId="30" fillId="0" borderId="29" xfId="0" applyNumberFormat="1" applyFont="1" applyBorder="1" applyAlignment="1">
      <alignment vertical="center"/>
    </xf>
    <xf numFmtId="49" fontId="30" fillId="0" borderId="31" xfId="0" applyNumberFormat="1" applyFont="1" applyBorder="1" applyAlignment="1">
      <alignment vertical="center"/>
    </xf>
    <xf numFmtId="49" fontId="31" fillId="0" borderId="29" xfId="0" applyNumberFormat="1" applyFont="1" applyBorder="1" applyAlignment="1" applyProtection="1">
      <alignment horizontal="left" vertical="center" wrapText="1"/>
    </xf>
    <xf numFmtId="49" fontId="31" fillId="0" borderId="27" xfId="0" applyNumberFormat="1" applyFont="1" applyBorder="1" applyAlignment="1">
      <alignment vertical="center"/>
    </xf>
    <xf numFmtId="49" fontId="31" fillId="0" borderId="27" xfId="0" applyNumberFormat="1" applyFont="1" applyBorder="1" applyAlignment="1">
      <alignment vertical="center" wrapText="1"/>
    </xf>
    <xf numFmtId="49" fontId="31" fillId="0" borderId="66" xfId="0" applyNumberFormat="1" applyFont="1" applyBorder="1" applyAlignment="1">
      <alignment vertical="center"/>
    </xf>
    <xf numFmtId="49" fontId="0" fillId="0" borderId="66" xfId="0" applyNumberFormat="1" applyBorder="1" applyAlignment="1">
      <alignment vertical="center" wrapText="1"/>
    </xf>
    <xf numFmtId="49" fontId="0" fillId="0" borderId="43" xfId="0" applyNumberFormat="1" applyBorder="1" applyAlignment="1">
      <alignment vertical="center" wrapText="1"/>
    </xf>
    <xf numFmtId="49" fontId="31" fillId="0" borderId="29" xfId="0" applyNumberFormat="1" applyFont="1" applyBorder="1" applyAlignment="1">
      <alignment vertical="center" wrapText="1"/>
    </xf>
    <xf numFmtId="49" fontId="31" fillId="0" borderId="43" xfId="0" applyNumberFormat="1" applyFont="1" applyBorder="1" applyAlignment="1">
      <alignment vertical="center"/>
    </xf>
    <xf numFmtId="49" fontId="31" fillId="0" borderId="51" xfId="0" applyNumberFormat="1" applyFont="1" applyBorder="1" applyAlignment="1">
      <alignment vertical="center" wrapText="1"/>
    </xf>
    <xf numFmtId="49" fontId="0" fillId="0" borderId="39" xfId="0" applyNumberFormat="1" applyBorder="1" applyAlignment="1">
      <alignment vertical="center" wrapText="1"/>
    </xf>
    <xf numFmtId="49" fontId="0" fillId="0" borderId="66" xfId="0" applyNumberFormat="1" applyBorder="1" applyAlignment="1">
      <alignment vertical="center"/>
    </xf>
    <xf numFmtId="49" fontId="31" fillId="0" borderId="66" xfId="0" applyNumberFormat="1" applyFont="1" applyBorder="1" applyAlignment="1">
      <alignment vertical="center" wrapText="1"/>
    </xf>
    <xf numFmtId="49" fontId="31" fillId="0" borderId="43" xfId="0" applyNumberFormat="1" applyFont="1" applyBorder="1" applyAlignment="1">
      <alignment vertical="center" wrapText="1"/>
    </xf>
    <xf numFmtId="49" fontId="31" fillId="0" borderId="27" xfId="0" applyNumberFormat="1" applyFont="1" applyBorder="1" applyAlignment="1">
      <alignment vertical="center"/>
    </xf>
    <xf numFmtId="49" fontId="31" fillId="0" borderId="66" xfId="0" applyNumberFormat="1" applyFont="1" applyBorder="1" applyAlignment="1">
      <alignment vertical="center"/>
    </xf>
    <xf numFmtId="49" fontId="31" fillId="0" borderId="43" xfId="0" applyNumberFormat="1" applyFont="1" applyBorder="1" applyAlignment="1">
      <alignment vertical="center"/>
    </xf>
    <xf numFmtId="49" fontId="0" fillId="0" borderId="0" xfId="0" applyNumberFormat="1" applyFont="1" applyFill="1" applyBorder="1"/>
    <xf numFmtId="49" fontId="0" fillId="0" borderId="0" xfId="0" applyNumberFormat="1"/>
    <xf numFmtId="49" fontId="9" fillId="0" borderId="1" xfId="0" applyNumberFormat="1" applyFont="1" applyBorder="1" applyAlignment="1" applyProtection="1">
      <alignment horizontal="center"/>
    </xf>
    <xf numFmtId="4" fontId="9" fillId="0" borderId="1" xfId="0" applyNumberFormat="1" applyFont="1" applyBorder="1" applyAlignment="1" applyProtection="1">
      <alignment horizontal="center"/>
    </xf>
    <xf numFmtId="49" fontId="9" fillId="0" borderId="0" xfId="0" applyNumberFormat="1" applyFont="1" applyBorder="1" applyAlignment="1" applyProtection="1">
      <alignment horizontal="center"/>
    </xf>
    <xf numFmtId="4" fontId="9" fillId="0" borderId="0" xfId="0" applyNumberFormat="1" applyFont="1" applyBorder="1" applyAlignment="1" applyProtection="1">
      <alignment horizontal="center"/>
    </xf>
  </cellXfs>
  <cellStyles count="2">
    <cellStyle name="Link" xfId="1" builtinId="8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6ACD0"/>
      <color rgb="FF000000"/>
      <color rgb="FF4D93C3"/>
      <color rgb="FF3B80AF"/>
      <color rgb="FF53AA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99393</xdr:colOff>
      <xdr:row>0</xdr:row>
      <xdr:rowOff>0</xdr:rowOff>
    </xdr:from>
    <xdr:to>
      <xdr:col>1</xdr:col>
      <xdr:colOff>1020003</xdr:colOff>
      <xdr:row>2</xdr:row>
      <xdr:rowOff>56173</xdr:rowOff>
    </xdr:to>
    <xdr:pic>
      <xdr:nvPicPr>
        <xdr:cNvPr id="16" name="Grafik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3" y="49695"/>
          <a:ext cx="1482585" cy="456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95250</xdr:rowOff>
    </xdr:from>
    <xdr:to>
      <xdr:col>1</xdr:col>
      <xdr:colOff>1121020</xdr:colOff>
      <xdr:row>4</xdr:row>
      <xdr:rowOff>55988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5250"/>
          <a:ext cx="2076450" cy="627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90121</xdr:colOff>
      <xdr:row>1</xdr:row>
      <xdr:rowOff>29309</xdr:rowOff>
    </xdr:from>
    <xdr:to>
      <xdr:col>1</xdr:col>
      <xdr:colOff>976918</xdr:colOff>
      <xdr:row>4</xdr:row>
      <xdr:rowOff>68919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21" y="197828"/>
          <a:ext cx="1794379" cy="530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204167</xdr:colOff>
      <xdr:row>0</xdr:row>
      <xdr:rowOff>64190</xdr:rowOff>
    </xdr:from>
    <xdr:to>
      <xdr:col>1</xdr:col>
      <xdr:colOff>1310980</xdr:colOff>
      <xdr:row>3</xdr:row>
      <xdr:rowOff>75372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67" y="64190"/>
          <a:ext cx="1670030" cy="5247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543339</xdr:colOff>
      <xdr:row>0</xdr:row>
      <xdr:rowOff>112229</xdr:rowOff>
    </xdr:from>
    <xdr:to>
      <xdr:col>1</xdr:col>
      <xdr:colOff>1210396</xdr:colOff>
      <xdr:row>3</xdr:row>
      <xdr:rowOff>69160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339" y="112229"/>
          <a:ext cx="1892883" cy="569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214519</xdr:colOff>
      <xdr:row>0</xdr:row>
      <xdr:rowOff>115542</xdr:rowOff>
    </xdr:from>
    <xdr:to>
      <xdr:col>1</xdr:col>
      <xdr:colOff>1762125</xdr:colOff>
      <xdr:row>3</xdr:row>
      <xdr:rowOff>146975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19" y="115542"/>
          <a:ext cx="2166731" cy="638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47625</xdr:rowOff>
    </xdr:from>
    <xdr:to>
      <xdr:col>1</xdr:col>
      <xdr:colOff>911112</xdr:colOff>
      <xdr:row>3</xdr:row>
      <xdr:rowOff>23446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7625"/>
          <a:ext cx="182624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9525</xdr:rowOff>
    </xdr:from>
    <xdr:to>
      <xdr:col>1</xdr:col>
      <xdr:colOff>1807393</xdr:colOff>
      <xdr:row>4</xdr:row>
      <xdr:rowOff>72887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71450"/>
          <a:ext cx="2007418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431556</xdr:colOff>
      <xdr:row>0</xdr:row>
      <xdr:rowOff>54952</xdr:rowOff>
    </xdr:from>
    <xdr:to>
      <xdr:col>1</xdr:col>
      <xdr:colOff>965688</xdr:colOff>
      <xdr:row>3</xdr:row>
      <xdr:rowOff>38411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556" y="54952"/>
          <a:ext cx="1699113" cy="569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28575</xdr:rowOff>
    </xdr:from>
    <xdr:to>
      <xdr:col>1</xdr:col>
      <xdr:colOff>1452861</xdr:colOff>
      <xdr:row>4</xdr:row>
      <xdr:rowOff>52021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28575"/>
          <a:ext cx="2110087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328979</xdr:colOff>
      <xdr:row>0</xdr:row>
      <xdr:rowOff>43229</xdr:rowOff>
    </xdr:from>
    <xdr:to>
      <xdr:col>1</xdr:col>
      <xdr:colOff>917273</xdr:colOff>
      <xdr:row>4</xdr:row>
      <xdr:rowOff>35902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979" y="43229"/>
          <a:ext cx="1804563" cy="644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Y29"/>
  <sheetViews>
    <sheetView showGridLines="0" zoomScale="145" zoomScaleNormal="145" workbookViewId="0">
      <selection activeCell="F17" sqref="F17"/>
    </sheetView>
  </sheetViews>
  <sheetFormatPr baseColWidth="10" defaultColWidth="11.42578125" defaultRowHeight="15.75" x14ac:dyDescent="0.25"/>
  <cols>
    <col min="1" max="1" width="7.85546875" style="1" customWidth="1"/>
    <col min="2" max="2" width="40.85546875" style="1" customWidth="1"/>
    <col min="3" max="3" width="28.5703125" style="1" customWidth="1"/>
    <col min="4" max="4" width="4.28515625" style="1" customWidth="1"/>
    <col min="5" max="5" width="11.42578125" style="1" customWidth="1"/>
    <col min="6" max="6" width="10.5703125" style="1" customWidth="1"/>
    <col min="7" max="7" width="8.85546875" style="1" customWidth="1"/>
    <col min="8" max="8" width="10" style="1" customWidth="1"/>
    <col min="9" max="9" width="10.28515625" style="1" customWidth="1"/>
    <col min="10" max="10" width="4.7109375" style="1" customWidth="1"/>
    <col min="11" max="11" width="6" style="1" customWidth="1"/>
    <col min="12" max="17" width="9.7109375" style="1" customWidth="1"/>
    <col min="18" max="18" width="10.85546875" style="1" customWidth="1"/>
    <col min="19" max="16384" width="11.42578125" style="1"/>
  </cols>
  <sheetData>
    <row r="1" spans="1:25" ht="15.75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25" ht="15.75" customHeight="1" x14ac:dyDescent="0.25">
      <c r="A2" s="2"/>
      <c r="B2" s="2"/>
      <c r="C2" s="2"/>
      <c r="D2" s="2"/>
      <c r="E2" s="2"/>
      <c r="F2" s="2"/>
      <c r="J2" s="293" t="s">
        <v>105</v>
      </c>
      <c r="K2" s="293"/>
    </row>
    <row r="3" spans="1:25" s="23" customFormat="1" ht="15.75" customHeight="1" x14ac:dyDescent="0.3">
      <c r="C3" s="36"/>
      <c r="D3" s="36"/>
      <c r="E3" s="36"/>
      <c r="F3" s="36"/>
      <c r="G3" s="36"/>
      <c r="J3" s="294" t="s">
        <v>106</v>
      </c>
      <c r="K3" s="294"/>
      <c r="L3" s="22"/>
      <c r="M3" s="22"/>
    </row>
    <row r="4" spans="1:25" s="23" customFormat="1" ht="15.75" customHeight="1" x14ac:dyDescent="0.3">
      <c r="C4" s="36"/>
      <c r="D4" s="36"/>
      <c r="E4" s="36"/>
      <c r="F4" s="36"/>
      <c r="G4" s="36"/>
      <c r="K4" s="140"/>
      <c r="L4" s="22"/>
      <c r="M4" s="22"/>
    </row>
    <row r="5" spans="1:25" s="23" customFormat="1" ht="15.75" customHeight="1" x14ac:dyDescent="0.3">
      <c r="B5" s="248" t="s">
        <v>81</v>
      </c>
      <c r="C5" s="36"/>
      <c r="D5" s="36"/>
      <c r="E5" s="36"/>
      <c r="F5" s="36"/>
      <c r="G5" s="36"/>
      <c r="K5" s="140"/>
      <c r="L5" s="22"/>
      <c r="M5" s="22"/>
    </row>
    <row r="6" spans="1:25" s="23" customFormat="1" ht="15.75" customHeight="1" x14ac:dyDescent="0.3">
      <c r="C6" s="36"/>
      <c r="D6" s="36"/>
      <c r="E6" s="36"/>
      <c r="F6" s="36"/>
      <c r="G6" s="36"/>
      <c r="K6" s="140"/>
      <c r="L6" s="22"/>
      <c r="M6" s="22"/>
    </row>
    <row r="7" spans="1:25" s="23" customFormat="1" ht="15.75" customHeight="1" x14ac:dyDescent="0.3">
      <c r="B7" s="24"/>
      <c r="C7" s="36"/>
      <c r="D7" s="36"/>
      <c r="E7" s="36"/>
      <c r="F7" s="36"/>
      <c r="G7" s="36"/>
      <c r="H7" s="22"/>
      <c r="I7" s="22"/>
      <c r="J7" s="22"/>
      <c r="K7" s="22"/>
      <c r="L7" s="22"/>
      <c r="M7" s="22"/>
      <c r="P7" s="11"/>
      <c r="Q7" s="30"/>
      <c r="R7" s="30"/>
    </row>
    <row r="8" spans="1:25" ht="15.75" customHeight="1" x14ac:dyDescent="0.25">
      <c r="A8" s="2"/>
      <c r="B8" s="137" t="s">
        <v>170</v>
      </c>
      <c r="C8" s="26"/>
      <c r="D8" s="27"/>
      <c r="E8" s="27"/>
      <c r="F8" s="27"/>
      <c r="G8" s="27"/>
      <c r="H8" s="7"/>
      <c r="I8" s="7"/>
      <c r="J8" s="7"/>
      <c r="K8" s="6"/>
      <c r="L8" s="6"/>
      <c r="M8" s="6"/>
      <c r="Q8" s="6"/>
    </row>
    <row r="9" spans="1:25" ht="15.75" customHeight="1" thickBot="1" x14ac:dyDescent="0.3">
      <c r="A9" s="2"/>
      <c r="B9" s="227"/>
      <c r="C9" s="26"/>
      <c r="D9" s="27"/>
      <c r="E9" s="27"/>
      <c r="F9" s="27"/>
      <c r="G9" s="27"/>
      <c r="H9" s="7"/>
      <c r="I9" s="7"/>
      <c r="J9" s="7"/>
      <c r="K9" s="6"/>
      <c r="L9" s="6"/>
      <c r="M9" s="6"/>
      <c r="Q9" s="6"/>
    </row>
    <row r="10" spans="1:25" ht="15.75" customHeight="1" x14ac:dyDescent="0.25">
      <c r="A10" s="2"/>
      <c r="B10" s="281" t="s">
        <v>169</v>
      </c>
      <c r="C10" s="282"/>
      <c r="D10" s="27"/>
      <c r="E10" s="278" t="s">
        <v>172</v>
      </c>
      <c r="F10" s="269"/>
      <c r="G10" s="269"/>
      <c r="H10" s="270"/>
      <c r="I10" s="271"/>
      <c r="J10" s="7"/>
      <c r="K10" s="6"/>
      <c r="L10" s="6"/>
      <c r="M10" s="6"/>
      <c r="Q10" s="6"/>
    </row>
    <row r="11" spans="1:25" ht="15.75" customHeight="1" x14ac:dyDescent="0.25">
      <c r="A11" s="2"/>
      <c r="B11" s="283" t="s">
        <v>152</v>
      </c>
      <c r="C11" s="284" t="s">
        <v>184</v>
      </c>
      <c r="D11" s="64"/>
      <c r="E11" s="272" t="s">
        <v>185</v>
      </c>
      <c r="F11" s="265"/>
      <c r="G11" s="265"/>
      <c r="H11" s="266"/>
      <c r="I11" s="273">
        <v>43564</v>
      </c>
      <c r="J11" s="7"/>
      <c r="K11" s="6"/>
      <c r="L11" s="6"/>
      <c r="M11" s="6"/>
      <c r="Q11" s="6"/>
    </row>
    <row r="12" spans="1:25" ht="15.75" customHeight="1" x14ac:dyDescent="0.25">
      <c r="A12" s="2"/>
      <c r="B12" s="259" t="s">
        <v>94</v>
      </c>
      <c r="C12" s="163">
        <v>5</v>
      </c>
      <c r="D12" s="138"/>
      <c r="E12" s="259" t="s">
        <v>91</v>
      </c>
      <c r="F12" s="267"/>
      <c r="G12" s="268"/>
      <c r="H12" s="267"/>
      <c r="I12" s="274">
        <v>2</v>
      </c>
      <c r="J12" s="7"/>
      <c r="K12" s="6"/>
      <c r="L12" s="6"/>
      <c r="M12" s="6"/>
      <c r="N12" s="6"/>
      <c r="O12" s="6"/>
      <c r="P12" s="6"/>
      <c r="Q12" s="6"/>
    </row>
    <row r="13" spans="1:25" ht="15.75" customHeight="1" thickBot="1" x14ac:dyDescent="0.3">
      <c r="A13" s="2"/>
      <c r="B13" s="285" t="s">
        <v>95</v>
      </c>
      <c r="C13" s="286">
        <v>120</v>
      </c>
      <c r="D13" s="27"/>
      <c r="E13" s="275" t="s">
        <v>191</v>
      </c>
      <c r="F13" s="276"/>
      <c r="G13" s="277"/>
      <c r="H13" s="276"/>
      <c r="I13" s="260">
        <f>IF('1.1_Nebenberechnungen'!C20&lt;&gt;"",'1.1_Nebenberechnungen'!C20,'1.1_Nebenberechnungen'!C40)</f>
        <v>83</v>
      </c>
      <c r="J13" s="7"/>
      <c r="K13" s="7"/>
      <c r="L13" s="7"/>
      <c r="M13" s="7"/>
      <c r="N13" s="7"/>
      <c r="O13" s="13"/>
      <c r="P13" s="7"/>
      <c r="Q13" s="6"/>
      <c r="Y13" s="3"/>
    </row>
    <row r="14" spans="1:25" s="2" customFormat="1" ht="15.75" customHeight="1" x14ac:dyDescent="0.25">
      <c r="B14" s="261"/>
      <c r="C14" s="35"/>
      <c r="D14" s="27"/>
      <c r="E14" s="27"/>
      <c r="F14" s="27"/>
      <c r="G14" s="27"/>
      <c r="H14" s="7"/>
      <c r="I14" s="7"/>
      <c r="J14" s="7"/>
      <c r="K14" s="7"/>
      <c r="L14" s="7"/>
      <c r="M14" s="7"/>
      <c r="N14" s="7"/>
      <c r="O14" s="13"/>
      <c r="P14" s="7"/>
      <c r="Q14" s="7"/>
      <c r="Y14" s="262"/>
    </row>
    <row r="15" spans="1:25" s="2" customFormat="1" ht="15.75" customHeight="1" thickBot="1" x14ac:dyDescent="0.3">
      <c r="B15" s="261"/>
      <c r="C15" s="35"/>
      <c r="D15" s="27"/>
      <c r="E15" s="27"/>
      <c r="F15" s="27"/>
      <c r="G15" s="27"/>
      <c r="H15" s="7"/>
      <c r="I15" s="7"/>
      <c r="J15" s="7"/>
      <c r="K15" s="7"/>
      <c r="L15" s="7"/>
      <c r="M15" s="7"/>
      <c r="N15" s="7"/>
      <c r="O15" s="13"/>
      <c r="P15" s="7"/>
      <c r="Q15" s="7"/>
      <c r="Y15" s="262"/>
    </row>
    <row r="16" spans="1:25" s="2" customFormat="1" ht="15.75" customHeight="1" x14ac:dyDescent="0.25">
      <c r="B16" s="281" t="s">
        <v>171</v>
      </c>
      <c r="C16" s="287"/>
      <c r="D16" s="27"/>
      <c r="E16" s="27"/>
      <c r="F16" s="27"/>
      <c r="G16" s="27"/>
      <c r="H16" s="7"/>
      <c r="I16" s="7"/>
      <c r="J16" s="7"/>
      <c r="K16" s="7"/>
      <c r="L16" s="7"/>
      <c r="M16" s="7"/>
      <c r="N16" s="7"/>
      <c r="O16" s="13"/>
      <c r="P16" s="7"/>
      <c r="Q16" s="7"/>
      <c r="Y16" s="262"/>
    </row>
    <row r="17" spans="1:17" ht="15.75" customHeight="1" x14ac:dyDescent="0.25">
      <c r="A17" s="2"/>
      <c r="B17" s="259" t="s">
        <v>80</v>
      </c>
      <c r="C17" s="163">
        <v>50</v>
      </c>
      <c r="D17" s="36"/>
      <c r="E17" s="36"/>
      <c r="F17" s="36"/>
      <c r="G17" s="36"/>
      <c r="H17" s="20"/>
      <c r="I17" s="16"/>
      <c r="J17" s="7"/>
      <c r="K17" s="6"/>
      <c r="L17" s="6"/>
      <c r="M17" s="6"/>
      <c r="N17" s="6"/>
      <c r="O17" s="10"/>
      <c r="P17" s="6"/>
      <c r="Q17" s="6"/>
    </row>
    <row r="18" spans="1:17" ht="15.75" customHeight="1" x14ac:dyDescent="0.25">
      <c r="A18" s="2"/>
      <c r="B18" s="259" t="s">
        <v>96</v>
      </c>
      <c r="C18" s="163">
        <v>80</v>
      </c>
      <c r="D18" s="47"/>
      <c r="E18" s="27"/>
      <c r="F18" s="27"/>
      <c r="G18" s="27"/>
      <c r="H18" s="7"/>
      <c r="I18" s="7"/>
      <c r="J18" s="21"/>
      <c r="K18" s="21"/>
      <c r="L18" s="21"/>
      <c r="M18" s="4"/>
      <c r="N18" s="7"/>
      <c r="O18" s="6"/>
      <c r="P18" s="6"/>
      <c r="Q18" s="6"/>
    </row>
    <row r="19" spans="1:17" ht="12.75" customHeight="1" thickBot="1" x14ac:dyDescent="0.3">
      <c r="A19" s="2"/>
      <c r="B19" s="285" t="s">
        <v>183</v>
      </c>
      <c r="C19" s="418" t="s">
        <v>153</v>
      </c>
      <c r="D19" s="7"/>
      <c r="E19" s="7"/>
      <c r="F19" s="7"/>
      <c r="G19" s="7"/>
      <c r="H19" s="7"/>
      <c r="I19" s="7"/>
      <c r="J19" s="7"/>
      <c r="K19" s="6"/>
      <c r="L19" s="6"/>
      <c r="M19" s="6"/>
      <c r="N19" s="6"/>
      <c r="O19" s="6"/>
      <c r="P19" s="6"/>
      <c r="Q19" s="6"/>
    </row>
    <row r="20" spans="1:17" s="2" customFormat="1" ht="15.75" customHeight="1" x14ac:dyDescent="0.25">
      <c r="B20" s="261"/>
      <c r="C20" s="26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2" customFormat="1" ht="15.75" customHeight="1" x14ac:dyDescent="0.25">
      <c r="B21" s="261"/>
      <c r="C21" s="264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B22" s="5"/>
      <c r="C22" s="6"/>
      <c r="D22" s="6"/>
      <c r="E22" s="6"/>
      <c r="F22" s="31"/>
      <c r="G22" s="9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B23" s="5"/>
      <c r="C23" s="6"/>
      <c r="D23" s="6"/>
      <c r="E23" s="6"/>
      <c r="F23" s="31"/>
      <c r="G23" s="9"/>
      <c r="H23" s="6"/>
      <c r="I23" s="6"/>
      <c r="J23" s="6"/>
      <c r="K23" s="6"/>
      <c r="L23" s="6"/>
      <c r="M23" s="6"/>
      <c r="N23" s="6"/>
      <c r="O23" s="6"/>
      <c r="P23" s="6"/>
      <c r="Q23" s="6"/>
    </row>
    <row r="25" spans="1:17" s="3" customFormat="1" hidden="1" x14ac:dyDescent="0.25">
      <c r="B25" s="288" t="s">
        <v>97</v>
      </c>
      <c r="C25" s="206"/>
      <c r="D25" s="206"/>
      <c r="E25" s="206"/>
      <c r="F25" s="206"/>
    </row>
    <row r="26" spans="1:17" s="3" customFormat="1" hidden="1" x14ac:dyDescent="0.25">
      <c r="B26" s="414" t="s">
        <v>153</v>
      </c>
      <c r="C26" s="415"/>
      <c r="D26" s="415"/>
      <c r="E26" s="416"/>
      <c r="F26" s="35"/>
      <c r="G26" s="263"/>
    </row>
    <row r="27" spans="1:17" s="3" customFormat="1" hidden="1" x14ac:dyDescent="0.25">
      <c r="B27" s="414" t="s">
        <v>154</v>
      </c>
      <c r="C27" s="415"/>
      <c r="D27" s="415"/>
      <c r="E27" s="416"/>
      <c r="F27" s="35"/>
      <c r="G27" s="263"/>
    </row>
    <row r="28" spans="1:17" x14ac:dyDescent="0.25">
      <c r="B28" s="32"/>
      <c r="C28" s="32"/>
      <c r="D28" s="32"/>
      <c r="E28" s="32"/>
      <c r="F28" s="32"/>
    </row>
    <row r="29" spans="1:17" x14ac:dyDescent="0.25">
      <c r="B29" s="32"/>
      <c r="C29" s="32"/>
      <c r="D29" s="32"/>
      <c r="E29" s="32"/>
      <c r="F29" s="32"/>
    </row>
  </sheetData>
  <sheetProtection password="C2D2" sheet="1" objects="1" scenarios="1"/>
  <customSheetViews>
    <customSheetView guid="{2F462239-8624-472D-83C3-142E64AAE7D6}" scale="85" fitToPage="1" hiddenRows="1" topLeftCell="A10">
      <selection activeCell="B17" sqref="B17"/>
      <pageMargins left="0.7" right="0.7" top="0.78740157499999996" bottom="0.78740157499999996" header="0.3" footer="0.3"/>
      <pageSetup paperSize="8" fitToHeight="0" orientation="landscape" r:id="rId1"/>
      <headerFooter>
        <oddFooter>&amp;C&amp;8&amp;Z&amp;F</oddFooter>
      </headerFooter>
    </customSheetView>
  </customSheetViews>
  <dataValidations count="1">
    <dataValidation type="list" allowBlank="1" showInputMessage="1" showErrorMessage="1" sqref="C19">
      <formula1>$B$26:$B$27</formula1>
    </dataValidation>
  </dataValidations>
  <pageMargins left="0.70866141732283472" right="0.70866141732283472" top="0.78740157480314965" bottom="0.78740157480314965" header="0.31496062992125984" footer="0.31496062992125984"/>
  <pageSetup paperSize="9" scale="91" fitToHeight="0" orientation="landscape" r:id="rId2"/>
  <headerFooter>
    <oddHeader xml:space="preserve">&amp;R&amp;7 1_Allgemeine_Angaben
</oddHead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N72"/>
  <sheetViews>
    <sheetView showGridLines="0" zoomScale="115" zoomScaleNormal="115" workbookViewId="0">
      <selection activeCell="I24" sqref="I24"/>
    </sheetView>
  </sheetViews>
  <sheetFormatPr baseColWidth="10" defaultColWidth="11.42578125" defaultRowHeight="12.75" x14ac:dyDescent="0.2"/>
  <cols>
    <col min="1" max="1" width="16.7109375" style="34" customWidth="1"/>
    <col min="2" max="2" width="22.140625" style="34" customWidth="1"/>
    <col min="3" max="3" width="24.5703125" style="34" customWidth="1"/>
    <col min="4" max="4" width="10.85546875" style="34" customWidth="1"/>
    <col min="5" max="5" width="11.85546875" style="34" customWidth="1"/>
    <col min="6" max="6" width="13.28515625" style="34" customWidth="1"/>
    <col min="7" max="7" width="9.5703125" style="34" customWidth="1"/>
    <col min="8" max="8" width="36.85546875" style="34" customWidth="1"/>
    <col min="9" max="9" width="11.140625" style="34" customWidth="1"/>
    <col min="10" max="10" width="2.42578125" style="34" customWidth="1"/>
    <col min="11" max="11" width="5.28515625" style="34" customWidth="1"/>
    <col min="12" max="12" width="6.5703125" style="34" customWidth="1"/>
    <col min="13" max="16384" width="11.42578125" style="34"/>
  </cols>
  <sheetData>
    <row r="1" spans="2:14" ht="13.5" thickBot="1" x14ac:dyDescent="0.25">
      <c r="B1" s="28"/>
    </row>
    <row r="2" spans="2:14" ht="13.5" thickBot="1" x14ac:dyDescent="0.25">
      <c r="B2" s="28"/>
      <c r="D2" s="484" t="str">
        <f>Studiengangsbezeichnung</f>
        <v>Musterstudiengang</v>
      </c>
      <c r="E2" s="485"/>
      <c r="F2" s="485"/>
      <c r="G2" s="486"/>
      <c r="H2" s="40" t="s">
        <v>33</v>
      </c>
      <c r="I2" s="150">
        <f>Stand_Datum</f>
        <v>43564</v>
      </c>
      <c r="K2" s="300" t="s">
        <v>105</v>
      </c>
      <c r="L2" s="300"/>
    </row>
    <row r="3" spans="2:14" x14ac:dyDescent="0.2">
      <c r="K3" s="301" t="s">
        <v>106</v>
      </c>
      <c r="L3" s="301"/>
    </row>
    <row r="5" spans="2:14" x14ac:dyDescent="0.2">
      <c r="F5" s="27"/>
      <c r="G5" s="27"/>
      <c r="H5" s="189"/>
      <c r="N5" s="27"/>
    </row>
    <row r="6" spans="2:14" x14ac:dyDescent="0.2">
      <c r="B6" s="47"/>
      <c r="C6" s="27"/>
      <c r="D6" s="27"/>
      <c r="E6" s="27"/>
      <c r="F6" s="27"/>
      <c r="G6" s="225"/>
    </row>
    <row r="7" spans="2:14" x14ac:dyDescent="0.2">
      <c r="B7" s="47"/>
      <c r="C7" s="27"/>
      <c r="D7" s="27"/>
      <c r="E7" s="27"/>
      <c r="F7" s="27"/>
    </row>
    <row r="8" spans="2:14" x14ac:dyDescent="0.2">
      <c r="B8" s="47" t="s">
        <v>139</v>
      </c>
      <c r="C8" s="27"/>
      <c r="D8" s="27"/>
      <c r="E8" s="27"/>
      <c r="F8" s="27"/>
    </row>
    <row r="9" spans="2:14" x14ac:dyDescent="0.2">
      <c r="B9" s="191"/>
      <c r="C9" s="27"/>
      <c r="D9" s="27"/>
      <c r="E9" s="27"/>
      <c r="F9" s="27"/>
    </row>
    <row r="10" spans="2:14" ht="15.75" customHeight="1" thickBot="1" x14ac:dyDescent="0.25">
      <c r="B10" s="47" t="s">
        <v>140</v>
      </c>
      <c r="C10" s="27"/>
      <c r="D10" s="27"/>
      <c r="E10" s="27"/>
      <c r="F10" s="27"/>
    </row>
    <row r="11" spans="2:14" ht="15" customHeight="1" x14ac:dyDescent="0.2">
      <c r="B11" s="419" t="s">
        <v>164</v>
      </c>
      <c r="C11" s="420" t="s">
        <v>150</v>
      </c>
      <c r="D11" s="421" t="s">
        <v>44</v>
      </c>
      <c r="E11" s="422" t="s">
        <v>45</v>
      </c>
      <c r="F11" s="423" t="s">
        <v>149</v>
      </c>
      <c r="G11" s="424"/>
      <c r="H11" s="425" t="s">
        <v>151</v>
      </c>
      <c r="I11" s="426"/>
    </row>
    <row r="12" spans="2:14" ht="12" customHeight="1" x14ac:dyDescent="0.2">
      <c r="B12" s="427"/>
      <c r="C12" s="428" t="s">
        <v>145</v>
      </c>
      <c r="D12" s="429">
        <v>0.3</v>
      </c>
      <c r="E12" s="430" t="s">
        <v>130</v>
      </c>
      <c r="F12" s="431">
        <f>IFERROR((VLOOKUP(E12,$B$40:$C$53,2,FALSE)*D12/2),"")</f>
        <v>7417.29</v>
      </c>
      <c r="G12" s="424"/>
      <c r="H12" s="432" t="s">
        <v>239</v>
      </c>
      <c r="I12" s="433">
        <f>F18</f>
        <v>30342.7</v>
      </c>
    </row>
    <row r="13" spans="2:14" ht="12" customHeight="1" x14ac:dyDescent="0.2">
      <c r="B13" s="427"/>
      <c r="C13" s="428" t="s">
        <v>147</v>
      </c>
      <c r="D13" s="429">
        <v>0.3</v>
      </c>
      <c r="E13" s="430" t="s">
        <v>125</v>
      </c>
      <c r="F13" s="431">
        <f>IFERROR((VLOOKUP(E13,$B$40:$C$53,2,FALSE)*D13/2),"")</f>
        <v>11899.14</v>
      </c>
      <c r="G13" s="424"/>
      <c r="H13" s="434" t="s">
        <v>141</v>
      </c>
      <c r="I13" s="435">
        <f>D29</f>
        <v>4628.57</v>
      </c>
    </row>
    <row r="14" spans="2:14" ht="12" customHeight="1" x14ac:dyDescent="0.2">
      <c r="B14" s="427"/>
      <c r="C14" s="436" t="s">
        <v>47</v>
      </c>
      <c r="D14" s="429">
        <v>0.1</v>
      </c>
      <c r="E14" s="430" t="s">
        <v>130</v>
      </c>
      <c r="F14" s="431">
        <f>IFERROR((VLOOKUP(E14,$B$40:$C$53,2,FALSE)*D14/2),"")</f>
        <v>2472.4299999999998</v>
      </c>
      <c r="G14" s="424"/>
      <c r="H14" s="437" t="s">
        <v>48</v>
      </c>
      <c r="I14" s="431">
        <f>SUM(I12:I13)</f>
        <v>34971.269999999997</v>
      </c>
    </row>
    <row r="15" spans="2:14" ht="12" customHeight="1" x14ac:dyDescent="0.2">
      <c r="B15" s="427"/>
      <c r="C15" s="428"/>
      <c r="D15" s="429"/>
      <c r="E15" s="430"/>
      <c r="F15" s="431" t="str">
        <f>IFERROR((VLOOKUP(E15,$B$40:$C$53,2,FALSE)*D15/2),"")</f>
        <v/>
      </c>
      <c r="G15" s="424"/>
      <c r="H15" s="434" t="s">
        <v>192</v>
      </c>
      <c r="I15" s="438">
        <f>'1_Allg_Angaben'!I13</f>
        <v>83</v>
      </c>
    </row>
    <row r="16" spans="2:14" ht="12" customHeight="1" x14ac:dyDescent="0.2">
      <c r="B16" s="439" t="s">
        <v>142</v>
      </c>
      <c r="C16" s="440" t="s">
        <v>173</v>
      </c>
      <c r="D16" s="441">
        <f>D17*0.15</f>
        <v>3.7499999999999999E-2</v>
      </c>
      <c r="E16" s="442" t="s">
        <v>19</v>
      </c>
      <c r="F16" s="435">
        <f>D16*(C46/2)</f>
        <v>1125.07</v>
      </c>
      <c r="G16" s="424"/>
      <c r="H16" s="434" t="s">
        <v>21</v>
      </c>
      <c r="I16" s="443">
        <f>Dauer_Studium</f>
        <v>5</v>
      </c>
    </row>
    <row r="17" spans="2:9" ht="12" customHeight="1" thickBot="1" x14ac:dyDescent="0.25">
      <c r="B17" s="444"/>
      <c r="C17" s="445" t="s">
        <v>43</v>
      </c>
      <c r="D17" s="442">
        <f>IF(AND(Anzahl_HS&lt;2,'1_Allg_Angaben'!$C$19='1_Allg_Angaben'!$B$26),0.3,IF(AND(Anzahl_HS&gt;=2,'1_Allg_Angaben'!$C$19='1_Allg_Angaben'!$B$26),0.25,IF(AND(Anzahl_HS&lt;2,'1_Allg_Angaben'!$C$19='1_Allg_Angaben'!$B$27),0.4,IF(AND(Anzahl_HS&gt;=2,'1_Allg_Angaben'!$C$19='1_Allg_Angaben'!$B$27),0.35,""))))</f>
        <v>0.25</v>
      </c>
      <c r="E17" s="442" t="s">
        <v>18</v>
      </c>
      <c r="F17" s="435">
        <f>D17*(C47/2)</f>
        <v>7428.77</v>
      </c>
      <c r="G17" s="424"/>
      <c r="H17" s="446" t="s">
        <v>49</v>
      </c>
      <c r="I17" s="447">
        <f>Gesamt_GK/I15</f>
        <v>421.34</v>
      </c>
    </row>
    <row r="18" spans="2:9" ht="18" customHeight="1" thickBot="1" x14ac:dyDescent="0.25">
      <c r="B18" s="448" t="s">
        <v>143</v>
      </c>
      <c r="C18" s="449"/>
      <c r="D18" s="449"/>
      <c r="E18" s="449"/>
      <c r="F18" s="450">
        <f>SUM(F12:F17)</f>
        <v>30342.7</v>
      </c>
      <c r="G18" s="424"/>
      <c r="H18" s="424"/>
      <c r="I18" s="424"/>
    </row>
    <row r="19" spans="2:9" x14ac:dyDescent="0.2">
      <c r="B19" s="424"/>
      <c r="C19" s="424"/>
      <c r="D19" s="424"/>
      <c r="E19" s="424"/>
      <c r="F19" s="424"/>
      <c r="G19" s="424"/>
      <c r="H19" s="424"/>
      <c r="I19" s="424"/>
    </row>
    <row r="20" spans="2:9" x14ac:dyDescent="0.2">
      <c r="B20" s="451"/>
      <c r="C20" s="452"/>
      <c r="D20" s="453"/>
      <c r="E20" s="454"/>
      <c r="F20" s="455"/>
      <c r="G20" s="424"/>
      <c r="H20" s="424"/>
      <c r="I20" s="424"/>
    </row>
    <row r="21" spans="2:9" ht="13.5" thickBot="1" x14ac:dyDescent="0.25">
      <c r="B21" s="456" t="s">
        <v>141</v>
      </c>
      <c r="C21" s="452"/>
      <c r="D21" s="453"/>
      <c r="E21" s="454"/>
      <c r="F21" s="455"/>
      <c r="G21" s="424"/>
      <c r="H21" s="424"/>
      <c r="I21" s="424"/>
    </row>
    <row r="22" spans="2:9" x14ac:dyDescent="0.2">
      <c r="B22" s="419" t="s">
        <v>164</v>
      </c>
      <c r="C22" s="457" t="s">
        <v>150</v>
      </c>
      <c r="D22" s="458" t="s">
        <v>149</v>
      </c>
      <c r="E22" s="454"/>
      <c r="F22" s="455"/>
      <c r="G22" s="424"/>
      <c r="H22" s="424"/>
      <c r="I22" s="424"/>
    </row>
    <row r="23" spans="2:9" ht="12" customHeight="1" x14ac:dyDescent="0.2">
      <c r="B23" s="427"/>
      <c r="C23" s="428" t="s">
        <v>174</v>
      </c>
      <c r="D23" s="459">
        <v>300</v>
      </c>
      <c r="E23" s="460"/>
      <c r="F23" s="424"/>
      <c r="G23" s="424"/>
      <c r="H23" s="424"/>
      <c r="I23" s="424"/>
    </row>
    <row r="24" spans="2:9" ht="12" customHeight="1" x14ac:dyDescent="0.2">
      <c r="B24" s="427"/>
      <c r="C24" s="461" t="s">
        <v>148</v>
      </c>
      <c r="D24" s="459">
        <v>2500</v>
      </c>
      <c r="E24" s="460"/>
      <c r="F24" s="424"/>
      <c r="G24" s="424"/>
      <c r="H24" s="424"/>
      <c r="I24" s="424"/>
    </row>
    <row r="25" spans="2:9" ht="12" customHeight="1" x14ac:dyDescent="0.2">
      <c r="B25" s="427"/>
      <c r="C25" s="461" t="s">
        <v>22</v>
      </c>
      <c r="D25" s="459">
        <f>10000/7</f>
        <v>1428.57</v>
      </c>
      <c r="E25" s="460"/>
      <c r="F25" s="424"/>
      <c r="G25" s="424"/>
      <c r="H25" s="424"/>
      <c r="I25" s="424"/>
    </row>
    <row r="26" spans="2:9" ht="12" customHeight="1" x14ac:dyDescent="0.2">
      <c r="B26" s="444"/>
      <c r="C26" s="461"/>
      <c r="D26" s="459"/>
      <c r="E26" s="460"/>
      <c r="F26" s="424"/>
      <c r="G26" s="424"/>
      <c r="H26" s="424"/>
      <c r="I26" s="424"/>
    </row>
    <row r="27" spans="2:9" ht="12" customHeight="1" x14ac:dyDescent="0.2">
      <c r="B27" s="427" t="s">
        <v>142</v>
      </c>
      <c r="C27" s="462" t="s">
        <v>46</v>
      </c>
      <c r="D27" s="463">
        <v>200</v>
      </c>
      <c r="E27" s="454"/>
      <c r="F27" s="424"/>
      <c r="G27" s="424"/>
      <c r="H27" s="424"/>
      <c r="I27" s="424"/>
    </row>
    <row r="28" spans="2:9" ht="12" customHeight="1" x14ac:dyDescent="0.2">
      <c r="B28" s="444"/>
      <c r="C28" s="464" t="s">
        <v>43</v>
      </c>
      <c r="D28" s="463">
        <v>200</v>
      </c>
      <c r="E28" s="454"/>
      <c r="F28" s="424"/>
      <c r="G28" s="424"/>
      <c r="H28" s="424"/>
      <c r="I28" s="424"/>
    </row>
    <row r="29" spans="2:9" ht="12" customHeight="1" thickBot="1" x14ac:dyDescent="0.25">
      <c r="B29" s="465" t="s">
        <v>146</v>
      </c>
      <c r="C29" s="449"/>
      <c r="D29" s="450">
        <f>SUM(D23:D28)</f>
        <v>4628.57</v>
      </c>
      <c r="E29" s="454"/>
      <c r="F29" s="455"/>
      <c r="G29" s="424"/>
      <c r="H29" s="424"/>
      <c r="I29" s="424"/>
    </row>
    <row r="30" spans="2:9" x14ac:dyDescent="0.2">
      <c r="B30" s="247"/>
      <c r="C30" s="247"/>
      <c r="D30" s="47"/>
      <c r="E30" s="196"/>
      <c r="F30" s="41"/>
      <c r="G30" s="27"/>
    </row>
    <row r="31" spans="2:9" x14ac:dyDescent="0.2">
      <c r="B31" s="247"/>
      <c r="C31" s="247"/>
      <c r="D31" s="47"/>
      <c r="E31" s="196"/>
      <c r="F31" s="41"/>
      <c r="G31" s="27"/>
    </row>
    <row r="32" spans="2:9" x14ac:dyDescent="0.2">
      <c r="B32" s="476" t="s">
        <v>244</v>
      </c>
      <c r="G32" s="27"/>
    </row>
    <row r="33" spans="1:7" x14ac:dyDescent="0.2">
      <c r="G33" s="27"/>
    </row>
    <row r="34" spans="1:7" x14ac:dyDescent="0.2">
      <c r="C34" s="44"/>
    </row>
    <row r="35" spans="1:7" x14ac:dyDescent="0.2">
      <c r="C35" s="44"/>
    </row>
    <row r="36" spans="1:7" hidden="1" x14ac:dyDescent="0.2">
      <c r="B36" s="197" t="s">
        <v>144</v>
      </c>
      <c r="C36" s="197"/>
    </row>
    <row r="37" spans="1:7" hidden="1" x14ac:dyDescent="0.2">
      <c r="C37" s="44"/>
    </row>
    <row r="38" spans="1:7" hidden="1" x14ac:dyDescent="0.2">
      <c r="F38" s="62"/>
      <c r="G38" s="33"/>
    </row>
    <row r="39" spans="1:7" hidden="1" x14ac:dyDescent="0.2">
      <c r="A39" s="27"/>
      <c r="B39" s="33" t="s">
        <v>233</v>
      </c>
    </row>
    <row r="40" spans="1:7" hidden="1" x14ac:dyDescent="0.2">
      <c r="A40" s="48"/>
      <c r="B40" s="541" t="s">
        <v>121</v>
      </c>
      <c r="C40" s="542">
        <f>IFERROR(VLOOKUP(B40,DB_PK,2,FALSE),"Prüfen!")</f>
        <v>98635.02</v>
      </c>
    </row>
    <row r="41" spans="1:7" hidden="1" x14ac:dyDescent="0.2">
      <c r="A41" s="48"/>
      <c r="B41" s="541" t="s">
        <v>122</v>
      </c>
      <c r="C41" s="542">
        <f>IFERROR(VLOOKUP(B41,DB_PK,2,FALSE),"Prüfen!")</f>
        <v>93570.51</v>
      </c>
    </row>
    <row r="42" spans="1:7" hidden="1" x14ac:dyDescent="0.2">
      <c r="A42" s="48"/>
      <c r="B42" s="541" t="s">
        <v>123</v>
      </c>
      <c r="C42" s="542">
        <f>IFERROR(VLOOKUP(B42,DB_PK,2,FALSE),"Prüfen!")</f>
        <v>94127.77</v>
      </c>
    </row>
    <row r="43" spans="1:7" hidden="1" x14ac:dyDescent="0.2">
      <c r="A43" s="48"/>
      <c r="B43" s="541" t="s">
        <v>124</v>
      </c>
      <c r="C43" s="542">
        <f>IFERROR(VLOOKUP(B43,DB_PK,2,FALSE),"Prüfen!")</f>
        <v>72066.83</v>
      </c>
    </row>
    <row r="44" spans="1:7" hidden="1" x14ac:dyDescent="0.2">
      <c r="A44" s="48"/>
      <c r="B44" s="541" t="s">
        <v>125</v>
      </c>
      <c r="C44" s="542">
        <f>IFERROR(VLOOKUP(B44,DB_PK,2,FALSE),"Prüfen!")</f>
        <v>79327.600000000006</v>
      </c>
    </row>
    <row r="45" spans="1:7" hidden="1" x14ac:dyDescent="0.2">
      <c r="A45" s="48"/>
      <c r="B45" s="541" t="s">
        <v>126</v>
      </c>
      <c r="C45" s="542">
        <f>IFERROR(VLOOKUP(B45,DB_PK,2,FALSE),"Prüfen!")</f>
        <v>69182.19</v>
      </c>
    </row>
    <row r="46" spans="1:7" hidden="1" x14ac:dyDescent="0.2">
      <c r="A46" s="48"/>
      <c r="B46" s="541" t="s">
        <v>127</v>
      </c>
      <c r="C46" s="542">
        <f>IFERROR(VLOOKUP(B46,DB_PK,2,FALSE),"Prüfen!")</f>
        <v>60003.79</v>
      </c>
    </row>
    <row r="47" spans="1:7" hidden="1" x14ac:dyDescent="0.2">
      <c r="A47" s="48"/>
      <c r="B47" s="541" t="s">
        <v>240</v>
      </c>
      <c r="C47" s="542">
        <f>IFERROR(VLOOKUP(B47,DB_PK,2,FALSE),"Prüfen!")</f>
        <v>59430.14</v>
      </c>
    </row>
    <row r="48" spans="1:7" hidden="1" x14ac:dyDescent="0.2">
      <c r="A48" s="48"/>
      <c r="B48" s="541" t="s">
        <v>241</v>
      </c>
      <c r="C48" s="542">
        <f>IFERROR(VLOOKUP(B48,DB_PK,2,FALSE),"Prüfen!")</f>
        <v>56234.09</v>
      </c>
    </row>
    <row r="49" spans="1:4" hidden="1" x14ac:dyDescent="0.2">
      <c r="A49" s="48"/>
      <c r="B49" s="541" t="s">
        <v>128</v>
      </c>
      <c r="C49" s="542">
        <f>IFERROR(VLOOKUP(B49,DB_PK,2,FALSE),"Prüfen!")</f>
        <v>52366.05</v>
      </c>
    </row>
    <row r="50" spans="1:4" hidden="1" x14ac:dyDescent="0.2">
      <c r="A50" s="48"/>
      <c r="B50" s="541" t="s">
        <v>129</v>
      </c>
      <c r="C50" s="542">
        <f>IFERROR(VLOOKUP(B50,DB_PK,2,FALSE),"Prüfen!")</f>
        <v>57692.800000000003</v>
      </c>
    </row>
    <row r="51" spans="1:4" hidden="1" x14ac:dyDescent="0.2">
      <c r="A51" s="48"/>
      <c r="B51" s="541" t="s">
        <v>130</v>
      </c>
      <c r="C51" s="542">
        <f>IFERROR(VLOOKUP(B51,DB_PK,2,FALSE),"Prüfen!")</f>
        <v>49448.63</v>
      </c>
    </row>
    <row r="52" spans="1:4" hidden="1" x14ac:dyDescent="0.2">
      <c r="A52" s="48"/>
      <c r="B52" s="541" t="s">
        <v>131</v>
      </c>
      <c r="C52" s="542">
        <f>IFERROR(VLOOKUP(B52,DB_PK,2,FALSE),"Prüfen!")</f>
        <v>49579.75</v>
      </c>
    </row>
    <row r="53" spans="1:4" hidden="1" x14ac:dyDescent="0.2">
      <c r="A53" s="48"/>
      <c r="B53" s="541" t="s">
        <v>132</v>
      </c>
      <c r="C53" s="542">
        <f>IFERROR(VLOOKUP(B53,DB_PK,2,FALSE),"Prüfen!")</f>
        <v>43679.35</v>
      </c>
      <c r="D53" s="62"/>
    </row>
    <row r="54" spans="1:4" hidden="1" x14ac:dyDescent="0.2">
      <c r="A54" s="48"/>
      <c r="B54" s="541" t="s">
        <v>242</v>
      </c>
      <c r="C54" s="542">
        <f>IFERROR(VLOOKUP(B54,DB_PK,2,FALSE),"Prüfen!")</f>
        <v>35107.379999999997</v>
      </c>
    </row>
    <row r="55" spans="1:4" hidden="1" x14ac:dyDescent="0.2">
      <c r="A55" s="48"/>
      <c r="B55" s="541" t="s">
        <v>243</v>
      </c>
      <c r="C55" s="542">
        <f>IFERROR(VLOOKUP(B55,DB_PK,2,FALSE),"Prüfen!")</f>
        <v>38631.230000000003</v>
      </c>
      <c r="D55" s="62"/>
    </row>
    <row r="56" spans="1:4" hidden="1" x14ac:dyDescent="0.2">
      <c r="A56" s="48"/>
      <c r="B56" s="543"/>
      <c r="C56" s="544"/>
      <c r="D56" s="62"/>
    </row>
    <row r="57" spans="1:4" hidden="1" x14ac:dyDescent="0.2">
      <c r="A57" s="48"/>
      <c r="B57" s="543"/>
      <c r="C57" s="544"/>
      <c r="D57" s="62"/>
    </row>
    <row r="58" spans="1:4" hidden="1" x14ac:dyDescent="0.2">
      <c r="A58" s="48"/>
      <c r="B58" s="543"/>
      <c r="C58" s="544"/>
      <c r="D58" s="62"/>
    </row>
    <row r="59" spans="1:4" hidden="1" x14ac:dyDescent="0.2">
      <c r="B59" s="33" t="s">
        <v>232</v>
      </c>
    </row>
    <row r="60" spans="1:4" hidden="1" x14ac:dyDescent="0.2">
      <c r="C60" s="34" t="s">
        <v>227</v>
      </c>
    </row>
    <row r="61" spans="1:4" hidden="1" x14ac:dyDescent="0.2">
      <c r="C61" s="44" t="s">
        <v>219</v>
      </c>
      <c r="D61" s="34" t="s">
        <v>220</v>
      </c>
    </row>
    <row r="62" spans="1:4" hidden="1" x14ac:dyDescent="0.2">
      <c r="C62" s="34" t="s">
        <v>221</v>
      </c>
      <c r="D62" s="34" t="s">
        <v>222</v>
      </c>
    </row>
    <row r="63" spans="1:4" hidden="1" x14ac:dyDescent="0.2">
      <c r="C63" s="34" t="s">
        <v>223</v>
      </c>
      <c r="D63" s="34" t="s">
        <v>224</v>
      </c>
    </row>
    <row r="64" spans="1:4" hidden="1" x14ac:dyDescent="0.2">
      <c r="C64" s="34" t="s">
        <v>225</v>
      </c>
      <c r="D64" s="34" t="s">
        <v>226</v>
      </c>
    </row>
    <row r="65" spans="3:3" hidden="1" x14ac:dyDescent="0.2"/>
    <row r="66" spans="3:3" hidden="1" x14ac:dyDescent="0.2"/>
    <row r="67" spans="3:3" hidden="1" x14ac:dyDescent="0.2">
      <c r="C67" s="34" t="s">
        <v>229</v>
      </c>
    </row>
    <row r="68" spans="3:3" hidden="1" x14ac:dyDescent="0.2">
      <c r="C68" s="417" t="s">
        <v>228</v>
      </c>
    </row>
    <row r="69" spans="3:3" hidden="1" x14ac:dyDescent="0.2"/>
    <row r="70" spans="3:3" hidden="1" x14ac:dyDescent="0.2">
      <c r="C70" s="34" t="s">
        <v>230</v>
      </c>
    </row>
    <row r="71" spans="3:3" hidden="1" x14ac:dyDescent="0.2">
      <c r="C71" s="417" t="s">
        <v>231</v>
      </c>
    </row>
    <row r="72" spans="3:3" hidden="1" x14ac:dyDescent="0.2"/>
  </sheetData>
  <sheetProtection algorithmName="SHA-512" hashValue="JeyB5emrlE2IxnTX3mt/mRszxCg738WwSJbct4+XAFTvLGmLoo2k21nHIbq2CqS3XaswmyrxbCw1T7KLiUG8ZA==" saltValue="205biAekrxr7gZH5WpqhJg==" spinCount="100000" sheet="1" objects="1" scenarios="1"/>
  <customSheetViews>
    <customSheetView guid="{2F462239-8624-472D-83C3-142E64AAE7D6}" fitToPage="1" topLeftCell="A4">
      <selection activeCell="D36" sqref="D36:D37"/>
      <pageMargins left="0.70866141732283472" right="0.70866141732283472" top="0.78740157480314965" bottom="0.78740157480314965" header="0.31496062992125984" footer="0.31496062992125984"/>
      <pageSetup paperSize="8" scale="59" orientation="landscape" r:id="rId1"/>
      <headerFooter>
        <oddFooter>&amp;C&amp;8&amp;Z&amp;F</oddFooter>
      </headerFooter>
    </customSheetView>
  </customSheetViews>
  <mergeCells count="1">
    <mergeCell ref="D2:G2"/>
  </mergeCells>
  <dataValidations count="1">
    <dataValidation type="list" allowBlank="1" showInputMessage="1" showErrorMessage="1" sqref="H23 E12:E15">
      <formula1>$B$40:$B$55</formula1>
    </dataValidation>
  </dataValidations>
  <pageMargins left="0.70866141732283472" right="0.70866141732283472" top="0.78740157480314965" bottom="0.78740157480314965" header="0.31496062992125984" footer="0.31496062992125984"/>
  <pageSetup paperSize="9" scale="76" orientation="landscape" r:id="rId2"/>
  <headerFooter>
    <oddHeader xml:space="preserve">&amp;R&amp;7 6_Gemeinkosten
</oddHead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2"/>
  <dimension ref="A1:E37"/>
  <sheetViews>
    <sheetView view="pageLayout" topLeftCell="A18" zoomScaleNormal="100" workbookViewId="0">
      <selection activeCell="E40" sqref="E40"/>
    </sheetView>
  </sheetViews>
  <sheetFormatPr baseColWidth="10" defaultRowHeight="15" x14ac:dyDescent="0.25"/>
  <cols>
    <col min="1" max="2" width="11.42578125" style="540"/>
    <col min="3" max="3" width="20.28515625" style="540" customWidth="1"/>
    <col min="4" max="4" width="19.85546875" customWidth="1"/>
    <col min="5" max="5" width="18.140625" customWidth="1"/>
  </cols>
  <sheetData>
    <row r="1" spans="1:5" ht="27" thickBot="1" x14ac:dyDescent="0.3">
      <c r="A1" s="521"/>
      <c r="B1" s="522"/>
      <c r="C1" s="523" t="s">
        <v>245</v>
      </c>
      <c r="D1" s="497" t="s">
        <v>246</v>
      </c>
      <c r="E1" s="498" t="s">
        <v>247</v>
      </c>
    </row>
    <row r="2" spans="1:5" x14ac:dyDescent="0.25">
      <c r="A2" s="524" t="s">
        <v>248</v>
      </c>
      <c r="B2" s="525" t="s">
        <v>249</v>
      </c>
      <c r="C2" s="499" t="s">
        <v>250</v>
      </c>
      <c r="D2" s="500">
        <f>E2*1639</f>
        <v>47006.52</v>
      </c>
      <c r="E2" s="501">
        <v>28.68</v>
      </c>
    </row>
    <row r="3" spans="1:5" x14ac:dyDescent="0.25">
      <c r="A3" s="526"/>
      <c r="B3" s="527"/>
      <c r="C3" s="502" t="s">
        <v>251</v>
      </c>
      <c r="D3" s="503">
        <f>E3*1639</f>
        <v>38450.94</v>
      </c>
      <c r="E3" s="504">
        <v>23.46</v>
      </c>
    </row>
    <row r="4" spans="1:5" x14ac:dyDescent="0.25">
      <c r="A4" s="526"/>
      <c r="B4" s="527"/>
      <c r="C4" s="502" t="s">
        <v>252</v>
      </c>
      <c r="D4" s="503">
        <f t="shared" ref="D4:D35" si="0">E4*1639</f>
        <v>45875.61</v>
      </c>
      <c r="E4" s="505">
        <v>27.99</v>
      </c>
    </row>
    <row r="5" spans="1:5" x14ac:dyDescent="0.25">
      <c r="A5" s="526"/>
      <c r="B5" s="527"/>
      <c r="C5" s="502" t="s">
        <v>253</v>
      </c>
      <c r="D5" s="503">
        <f t="shared" si="0"/>
        <v>55054.01</v>
      </c>
      <c r="E5" s="505">
        <v>33.590000000000003</v>
      </c>
    </row>
    <row r="6" spans="1:5" x14ac:dyDescent="0.25">
      <c r="A6" s="526"/>
      <c r="B6" s="527"/>
      <c r="C6" s="502" t="s">
        <v>254</v>
      </c>
      <c r="D6" s="503">
        <f t="shared" si="0"/>
        <v>58397.57</v>
      </c>
      <c r="E6" s="505">
        <v>35.630000000000003</v>
      </c>
    </row>
    <row r="7" spans="1:5" x14ac:dyDescent="0.25">
      <c r="A7" s="526"/>
      <c r="B7" s="527"/>
      <c r="C7" s="502" t="s">
        <v>255</v>
      </c>
      <c r="D7" s="503">
        <f t="shared" si="0"/>
        <v>65068.3</v>
      </c>
      <c r="E7" s="504">
        <v>39.700000000000003</v>
      </c>
    </row>
    <row r="8" spans="1:5" x14ac:dyDescent="0.25">
      <c r="A8" s="526"/>
      <c r="B8" s="527"/>
      <c r="C8" s="502" t="s">
        <v>256</v>
      </c>
      <c r="D8" s="503">
        <f t="shared" si="0"/>
        <v>61708.35</v>
      </c>
      <c r="E8" s="504">
        <v>37.65</v>
      </c>
    </row>
    <row r="9" spans="1:5" x14ac:dyDescent="0.25">
      <c r="A9" s="526"/>
      <c r="B9" s="527"/>
      <c r="C9" s="502" t="s">
        <v>257</v>
      </c>
      <c r="D9" s="503">
        <f t="shared" si="0"/>
        <v>72968.28</v>
      </c>
      <c r="E9" s="505">
        <v>44.52</v>
      </c>
    </row>
    <row r="10" spans="1:5" x14ac:dyDescent="0.25">
      <c r="A10" s="526"/>
      <c r="B10" s="527"/>
      <c r="C10" s="506" t="s">
        <v>258</v>
      </c>
      <c r="D10" s="503">
        <f t="shared" si="0"/>
        <v>78917.850000000006</v>
      </c>
      <c r="E10" s="505">
        <v>48.15</v>
      </c>
    </row>
    <row r="11" spans="1:5" ht="15.75" thickBot="1" x14ac:dyDescent="0.3">
      <c r="A11" s="526"/>
      <c r="B11" s="528"/>
      <c r="C11" s="507" t="s">
        <v>259</v>
      </c>
      <c r="D11" s="503">
        <f t="shared" si="0"/>
        <v>88407.66</v>
      </c>
      <c r="E11" s="508">
        <v>53.94</v>
      </c>
    </row>
    <row r="12" spans="1:5" x14ac:dyDescent="0.25">
      <c r="A12" s="526"/>
      <c r="B12" s="525" t="s">
        <v>260</v>
      </c>
      <c r="C12" s="499" t="s">
        <v>261</v>
      </c>
      <c r="D12" s="503">
        <f t="shared" si="0"/>
        <v>80032.37</v>
      </c>
      <c r="E12" s="509">
        <v>48.83</v>
      </c>
    </row>
    <row r="13" spans="1:5" ht="15.75" thickBot="1" x14ac:dyDescent="0.3">
      <c r="A13" s="526"/>
      <c r="B13" s="528"/>
      <c r="C13" s="510" t="s">
        <v>262</v>
      </c>
      <c r="D13" s="503">
        <f t="shared" si="0"/>
        <v>87637.33</v>
      </c>
      <c r="E13" s="511">
        <v>53.47</v>
      </c>
    </row>
    <row r="14" spans="1:5" x14ac:dyDescent="0.25">
      <c r="A14" s="526"/>
      <c r="B14" s="529" t="s">
        <v>263</v>
      </c>
      <c r="C14" s="499" t="s">
        <v>264</v>
      </c>
      <c r="D14" s="503">
        <f t="shared" si="0"/>
        <v>82917.009999999995</v>
      </c>
      <c r="E14" s="509">
        <v>50.59</v>
      </c>
    </row>
    <row r="15" spans="1:5" ht="15.75" thickBot="1" x14ac:dyDescent="0.3">
      <c r="A15" s="530"/>
      <c r="B15" s="531"/>
      <c r="C15" s="512" t="s">
        <v>265</v>
      </c>
      <c r="D15" s="503">
        <f t="shared" si="0"/>
        <v>115697.01</v>
      </c>
      <c r="E15" s="504">
        <v>70.59</v>
      </c>
    </row>
    <row r="16" spans="1:5" ht="15" customHeight="1" thickBot="1" x14ac:dyDescent="0.3">
      <c r="A16" s="524" t="s">
        <v>266</v>
      </c>
      <c r="B16" s="532"/>
      <c r="C16" s="513" t="s">
        <v>267</v>
      </c>
      <c r="D16" s="503">
        <f t="shared" si="0"/>
        <v>104322.35</v>
      </c>
      <c r="E16" s="514">
        <v>63.65</v>
      </c>
    </row>
    <row r="17" spans="1:5" x14ac:dyDescent="0.25">
      <c r="A17" s="533"/>
      <c r="B17" s="525" t="s">
        <v>268</v>
      </c>
      <c r="C17" s="502" t="s">
        <v>121</v>
      </c>
      <c r="D17" s="503">
        <f t="shared" si="0"/>
        <v>98635.02</v>
      </c>
      <c r="E17" s="515">
        <v>60.18</v>
      </c>
    </row>
    <row r="18" spans="1:5" x14ac:dyDescent="0.25">
      <c r="A18" s="533"/>
      <c r="B18" s="534"/>
      <c r="C18" s="502" t="s">
        <v>122</v>
      </c>
      <c r="D18" s="503">
        <f t="shared" si="0"/>
        <v>93570.51</v>
      </c>
      <c r="E18" s="515">
        <v>57.09</v>
      </c>
    </row>
    <row r="19" spans="1:5" x14ac:dyDescent="0.25">
      <c r="A19" s="533"/>
      <c r="B19" s="534"/>
      <c r="C19" s="502" t="s">
        <v>123</v>
      </c>
      <c r="D19" s="503">
        <f t="shared" si="0"/>
        <v>94127.77</v>
      </c>
      <c r="E19" s="515">
        <v>57.43</v>
      </c>
    </row>
    <row r="20" spans="1:5" x14ac:dyDescent="0.25">
      <c r="A20" s="533"/>
      <c r="B20" s="534"/>
      <c r="C20" s="502" t="s">
        <v>124</v>
      </c>
      <c r="D20" s="503">
        <f t="shared" si="0"/>
        <v>72066.83</v>
      </c>
      <c r="E20" s="515">
        <v>43.97</v>
      </c>
    </row>
    <row r="21" spans="1:5" x14ac:dyDescent="0.25">
      <c r="A21" s="533"/>
      <c r="B21" s="534"/>
      <c r="C21" s="502" t="s">
        <v>125</v>
      </c>
      <c r="D21" s="503">
        <f t="shared" si="0"/>
        <v>79327.600000000006</v>
      </c>
      <c r="E21" s="515">
        <v>48.4</v>
      </c>
    </row>
    <row r="22" spans="1:5" x14ac:dyDescent="0.25">
      <c r="A22" s="533"/>
      <c r="B22" s="534"/>
      <c r="C22" s="502" t="s">
        <v>126</v>
      </c>
      <c r="D22" s="503">
        <f t="shared" si="0"/>
        <v>69182.19</v>
      </c>
      <c r="E22" s="515">
        <v>42.21</v>
      </c>
    </row>
    <row r="23" spans="1:5" x14ac:dyDescent="0.25">
      <c r="A23" s="533"/>
      <c r="B23" s="534"/>
      <c r="C23" s="502" t="s">
        <v>127</v>
      </c>
      <c r="D23" s="503">
        <f t="shared" si="0"/>
        <v>60003.79</v>
      </c>
      <c r="E23" s="515">
        <v>36.61</v>
      </c>
    </row>
    <row r="24" spans="1:5" x14ac:dyDescent="0.25">
      <c r="A24" s="533"/>
      <c r="B24" s="534"/>
      <c r="C24" s="506" t="s">
        <v>240</v>
      </c>
      <c r="D24" s="503">
        <f t="shared" si="0"/>
        <v>59430.14</v>
      </c>
      <c r="E24" s="515">
        <v>36.26</v>
      </c>
    </row>
    <row r="25" spans="1:5" x14ac:dyDescent="0.25">
      <c r="A25" s="533"/>
      <c r="B25" s="534"/>
      <c r="C25" s="506" t="s">
        <v>241</v>
      </c>
      <c r="D25" s="503">
        <f t="shared" si="0"/>
        <v>56234.09</v>
      </c>
      <c r="E25" s="515">
        <v>34.31</v>
      </c>
    </row>
    <row r="26" spans="1:5" x14ac:dyDescent="0.25">
      <c r="A26" s="533"/>
      <c r="B26" s="534"/>
      <c r="C26" s="502" t="s">
        <v>128</v>
      </c>
      <c r="D26" s="503">
        <f t="shared" si="0"/>
        <v>52366.05</v>
      </c>
      <c r="E26" s="515">
        <v>31.95</v>
      </c>
    </row>
    <row r="27" spans="1:5" x14ac:dyDescent="0.25">
      <c r="A27" s="533"/>
      <c r="B27" s="534"/>
      <c r="C27" s="502" t="s">
        <v>129</v>
      </c>
      <c r="D27" s="503">
        <f t="shared" si="0"/>
        <v>57692.800000000003</v>
      </c>
      <c r="E27" s="515">
        <v>35.200000000000003</v>
      </c>
    </row>
    <row r="28" spans="1:5" x14ac:dyDescent="0.25">
      <c r="A28" s="533"/>
      <c r="B28" s="534"/>
      <c r="C28" s="502" t="s">
        <v>130</v>
      </c>
      <c r="D28" s="503">
        <f t="shared" si="0"/>
        <v>49448.63</v>
      </c>
      <c r="E28" s="515">
        <v>30.17</v>
      </c>
    </row>
    <row r="29" spans="1:5" x14ac:dyDescent="0.25">
      <c r="A29" s="533"/>
      <c r="B29" s="534"/>
      <c r="C29" s="502" t="s">
        <v>131</v>
      </c>
      <c r="D29" s="503">
        <f t="shared" si="0"/>
        <v>49579.75</v>
      </c>
      <c r="E29" s="515">
        <v>30.25</v>
      </c>
    </row>
    <row r="30" spans="1:5" x14ac:dyDescent="0.25">
      <c r="A30" s="533"/>
      <c r="B30" s="534"/>
      <c r="C30" s="502" t="s">
        <v>132</v>
      </c>
      <c r="D30" s="503">
        <f t="shared" si="0"/>
        <v>43679.35</v>
      </c>
      <c r="E30" s="515">
        <v>26.65</v>
      </c>
    </row>
    <row r="31" spans="1:5" x14ac:dyDescent="0.25">
      <c r="A31" s="533"/>
      <c r="B31" s="534"/>
      <c r="C31" s="506" t="s">
        <v>242</v>
      </c>
      <c r="D31" s="503">
        <f t="shared" si="0"/>
        <v>35107.379999999997</v>
      </c>
      <c r="E31" s="515">
        <v>21.42</v>
      </c>
    </row>
    <row r="32" spans="1:5" ht="15.75" thickBot="1" x14ac:dyDescent="0.3">
      <c r="A32" s="533"/>
      <c r="B32" s="535"/>
      <c r="C32" s="507" t="s">
        <v>243</v>
      </c>
      <c r="D32" s="503">
        <f t="shared" si="0"/>
        <v>38631.230000000003</v>
      </c>
      <c r="E32" s="516">
        <v>23.57</v>
      </c>
    </row>
    <row r="33" spans="1:5" x14ac:dyDescent="0.25">
      <c r="A33" s="524" t="s">
        <v>269</v>
      </c>
      <c r="B33" s="536" t="s">
        <v>270</v>
      </c>
      <c r="C33" s="499" t="s">
        <v>271</v>
      </c>
      <c r="D33" s="503">
        <f t="shared" si="0"/>
        <v>22913.22</v>
      </c>
      <c r="E33" s="517">
        <v>13.98</v>
      </c>
    </row>
    <row r="34" spans="1:5" x14ac:dyDescent="0.25">
      <c r="A34" s="526"/>
      <c r="B34" s="537" t="s">
        <v>272</v>
      </c>
      <c r="C34" s="502" t="s">
        <v>273</v>
      </c>
      <c r="D34" s="503">
        <f t="shared" si="0"/>
        <v>26650.14</v>
      </c>
      <c r="E34" s="518">
        <v>16.260000000000002</v>
      </c>
    </row>
    <row r="35" spans="1:5" ht="15.75" thickBot="1" x14ac:dyDescent="0.3">
      <c r="A35" s="530"/>
      <c r="B35" s="538" t="s">
        <v>274</v>
      </c>
      <c r="C35" s="510" t="s">
        <v>275</v>
      </c>
      <c r="D35" s="519">
        <f t="shared" si="0"/>
        <v>35353.230000000003</v>
      </c>
      <c r="E35" s="520">
        <v>21.57</v>
      </c>
    </row>
    <row r="36" spans="1:5" x14ac:dyDescent="0.25">
      <c r="A36" s="539"/>
      <c r="B36" s="539"/>
      <c r="C36" s="539"/>
      <c r="D36" s="477"/>
      <c r="E36" s="477"/>
    </row>
    <row r="37" spans="1:5" x14ac:dyDescent="0.25">
      <c r="A37" s="539"/>
      <c r="B37" s="539"/>
      <c r="C37" s="539"/>
      <c r="D37" s="477"/>
      <c r="E37" s="477"/>
    </row>
  </sheetData>
  <mergeCells count="8">
    <mergeCell ref="A33:A35"/>
    <mergeCell ref="A1:B1"/>
    <mergeCell ref="A2:A15"/>
    <mergeCell ref="B2:B11"/>
    <mergeCell ref="B12:B13"/>
    <mergeCell ref="B14:B16"/>
    <mergeCell ref="A16:A32"/>
    <mergeCell ref="B17:B32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B1:M42"/>
  <sheetViews>
    <sheetView showGridLines="0" tabSelected="1" zoomScale="145" zoomScaleNormal="145" zoomScalePageLayoutView="115" workbookViewId="0">
      <selection activeCell="A31" sqref="A31"/>
    </sheetView>
  </sheetViews>
  <sheetFormatPr baseColWidth="10" defaultColWidth="11.42578125" defaultRowHeight="12.75" x14ac:dyDescent="0.2"/>
  <cols>
    <col min="1" max="1" width="13" style="34" customWidth="1"/>
    <col min="2" max="2" width="40.85546875" style="34" customWidth="1"/>
    <col min="3" max="3" width="12.28515625" style="34" customWidth="1"/>
    <col min="4" max="4" width="3.140625" style="34" customWidth="1"/>
    <col min="5" max="5" width="34.42578125" style="34" customWidth="1"/>
    <col min="6" max="6" width="14.42578125" style="34" customWidth="1"/>
    <col min="7" max="7" width="9" style="34" customWidth="1"/>
    <col min="8" max="8" width="11.28515625" style="27" customWidth="1"/>
    <col min="9" max="9" width="3.28515625" style="34" customWidth="1"/>
    <col min="10" max="10" width="6.28515625" style="34" customWidth="1"/>
    <col min="11" max="11" width="10.85546875" style="34" customWidth="1"/>
    <col min="12" max="12" width="4.42578125" style="34" customWidth="1"/>
    <col min="13" max="13" width="9.7109375" style="34" customWidth="1"/>
    <col min="14" max="14" width="16" style="34" customWidth="1"/>
    <col min="15" max="16384" width="11.42578125" style="34"/>
  </cols>
  <sheetData>
    <row r="1" spans="2:13" ht="13.5" thickBot="1" x14ac:dyDescent="0.25"/>
    <row r="2" spans="2:13" ht="13.5" thickBot="1" x14ac:dyDescent="0.25">
      <c r="C2" s="484" t="str">
        <f>Studiengangsbezeichnung</f>
        <v>Musterstudiengang</v>
      </c>
      <c r="D2" s="485"/>
      <c r="E2" s="486"/>
      <c r="F2" s="11" t="s">
        <v>33</v>
      </c>
      <c r="G2" s="25">
        <f>Stand_Datum</f>
        <v>43564</v>
      </c>
      <c r="H2" s="405" t="s">
        <v>105</v>
      </c>
      <c r="I2" s="406"/>
    </row>
    <row r="3" spans="2:13" x14ac:dyDescent="0.2">
      <c r="B3" s="33"/>
      <c r="C3" s="316"/>
      <c r="G3" s="27"/>
      <c r="I3" s="151"/>
    </row>
    <row r="4" spans="2:13" x14ac:dyDescent="0.2">
      <c r="B4" s="27"/>
      <c r="C4" s="27"/>
      <c r="D4" s="27"/>
      <c r="E4" s="27"/>
      <c r="F4" s="27"/>
      <c r="G4" s="27"/>
      <c r="I4" s="27"/>
    </row>
    <row r="5" spans="2:13" x14ac:dyDescent="0.2">
      <c r="B5" s="27"/>
      <c r="C5" s="27"/>
      <c r="D5" s="27"/>
      <c r="E5" s="27"/>
      <c r="F5" s="27"/>
      <c r="G5" s="27"/>
      <c r="I5" s="27"/>
    </row>
    <row r="6" spans="2:13" x14ac:dyDescent="0.2">
      <c r="B6" s="27"/>
      <c r="C6" s="27"/>
      <c r="D6" s="27"/>
      <c r="E6" s="27"/>
      <c r="F6" s="27"/>
      <c r="G6" s="27"/>
      <c r="I6" s="27"/>
    </row>
    <row r="7" spans="2:13" x14ac:dyDescent="0.2">
      <c r="B7" s="27"/>
      <c r="C7" s="27"/>
      <c r="D7" s="27"/>
      <c r="E7" s="27"/>
      <c r="F7" s="27"/>
      <c r="G7" s="27"/>
      <c r="I7" s="27"/>
    </row>
    <row r="8" spans="2:13" ht="15.75" x14ac:dyDescent="0.25">
      <c r="B8" s="8" t="s">
        <v>161</v>
      </c>
      <c r="E8" s="27"/>
      <c r="F8" s="27"/>
      <c r="G8" s="27"/>
      <c r="I8" s="27"/>
    </row>
    <row r="9" spans="2:13" ht="13.5" thickBot="1" x14ac:dyDescent="0.25">
      <c r="B9" s="47"/>
      <c r="C9" s="48"/>
      <c r="D9" s="27"/>
      <c r="E9" s="27"/>
      <c r="F9" s="100"/>
      <c r="G9" s="100"/>
      <c r="H9" s="100"/>
      <c r="I9" s="100"/>
      <c r="J9" s="100"/>
      <c r="K9" s="100"/>
      <c r="L9" s="100"/>
      <c r="M9" s="100"/>
    </row>
    <row r="10" spans="2:13" x14ac:dyDescent="0.2">
      <c r="B10" s="317" t="s">
        <v>170</v>
      </c>
      <c r="C10" s="318"/>
      <c r="E10" s="332" t="s">
        <v>187</v>
      </c>
      <c r="F10" s="318"/>
      <c r="G10" s="41"/>
      <c r="H10" s="41"/>
      <c r="I10" s="47"/>
      <c r="J10" s="59"/>
      <c r="M10" s="226"/>
    </row>
    <row r="11" spans="2:13" x14ac:dyDescent="0.2">
      <c r="B11" s="320" t="s">
        <v>155</v>
      </c>
      <c r="C11" s="321">
        <f>Anzahl_HS</f>
        <v>2</v>
      </c>
      <c r="E11" s="356" t="s">
        <v>207</v>
      </c>
      <c r="F11" s="357">
        <f>'2_Studienverlaufsplan'!D30</f>
        <v>37</v>
      </c>
      <c r="G11" s="41"/>
      <c r="H11" s="41"/>
      <c r="I11" s="47"/>
      <c r="J11" s="59"/>
      <c r="M11" s="226"/>
    </row>
    <row r="12" spans="2:13" x14ac:dyDescent="0.2">
      <c r="B12" s="323" t="s">
        <v>218</v>
      </c>
      <c r="C12" s="324">
        <f>Aufnahmekapazität</f>
        <v>50</v>
      </c>
      <c r="E12" s="356" t="s">
        <v>208</v>
      </c>
      <c r="F12" s="357">
        <f>'2_Studienverlaufsplan'!E30</f>
        <v>30</v>
      </c>
      <c r="G12" s="41"/>
      <c r="H12" s="41"/>
      <c r="I12" s="47"/>
      <c r="J12" s="59"/>
      <c r="M12" s="226"/>
    </row>
    <row r="13" spans="2:13" x14ac:dyDescent="0.2">
      <c r="B13" s="356" t="s">
        <v>235</v>
      </c>
      <c r="C13" s="357">
        <f>Dauer_Studium</f>
        <v>5</v>
      </c>
      <c r="E13" s="356" t="s">
        <v>209</v>
      </c>
      <c r="F13" s="357">
        <f>'2_Studienverlaufsplan'!F30</f>
        <v>6</v>
      </c>
      <c r="G13" s="41"/>
      <c r="H13" s="41"/>
      <c r="I13" s="47"/>
      <c r="J13" s="59"/>
      <c r="M13" s="226"/>
    </row>
    <row r="14" spans="2:13" ht="13.5" thickBot="1" x14ac:dyDescent="0.25">
      <c r="B14" s="325" t="s">
        <v>183</v>
      </c>
      <c r="C14" s="326" t="str">
        <f>IF('1_Allg_Angaben'!$C$19='1_Allg_Angaben'!$B$26,"Im WS oder SS",IF('1_Allg_Angaben'!$C$19='1_Allg_Angaben'!$B$27,"Im WS und SS",""))</f>
        <v>Im WS oder SS</v>
      </c>
      <c r="E14" s="343" t="s">
        <v>210</v>
      </c>
      <c r="F14" s="358">
        <f>'2_Studienverlaufsplan'!G30</f>
        <v>3</v>
      </c>
      <c r="G14" s="41"/>
      <c r="H14" s="41"/>
      <c r="I14" s="47"/>
      <c r="J14" s="59"/>
      <c r="K14" s="330"/>
      <c r="L14" s="331"/>
      <c r="M14" s="226"/>
    </row>
    <row r="15" spans="2:13" ht="13.5" thickBot="1" x14ac:dyDescent="0.25">
      <c r="D15" s="41"/>
      <c r="G15" s="41"/>
      <c r="H15" s="41"/>
      <c r="I15" s="47"/>
      <c r="J15" s="59"/>
      <c r="M15" s="226"/>
    </row>
    <row r="16" spans="2:13" x14ac:dyDescent="0.2">
      <c r="B16" s="319" t="s">
        <v>157</v>
      </c>
      <c r="C16" s="350">
        <f>IF(Anzahl_HS&lt;2,'3_Lehrmaterial'!J16,'3_Lehrmaterial'!J17)</f>
        <v>128.53</v>
      </c>
      <c r="D16" s="41"/>
      <c r="E16" s="319" t="s">
        <v>160</v>
      </c>
      <c r="F16" s="350">
        <f>'4_Präsenz'!N16</f>
        <v>272.8</v>
      </c>
      <c r="G16" s="336"/>
      <c r="H16" s="336"/>
      <c r="I16" s="337"/>
      <c r="J16" s="27"/>
      <c r="M16" s="338"/>
    </row>
    <row r="17" spans="2:13" x14ac:dyDescent="0.2">
      <c r="B17" s="320" t="s">
        <v>158</v>
      </c>
      <c r="C17" s="322">
        <f>COUNTA('3_Lehrmaterial'!D11:D30)</f>
        <v>2</v>
      </c>
      <c r="D17" s="41"/>
      <c r="E17" s="320" t="s">
        <v>213</v>
      </c>
      <c r="F17" s="333">
        <f>COUNTA('2_Studienverlaufsplan'!B10:B29)</f>
        <v>20</v>
      </c>
      <c r="G17" s="336"/>
      <c r="H17" s="336"/>
      <c r="I17" s="337"/>
      <c r="J17" s="27"/>
      <c r="M17" s="338"/>
    </row>
    <row r="18" spans="2:13" x14ac:dyDescent="0.2">
      <c r="B18" s="320" t="s">
        <v>186</v>
      </c>
      <c r="C18" s="322">
        <f>COUNTA('3_Lehrmaterial'!E11:E30)</f>
        <v>12</v>
      </c>
      <c r="D18" s="41"/>
      <c r="E18" s="320" t="s">
        <v>211</v>
      </c>
      <c r="F18" s="351">
        <f>Summe_Präsenz/C12/C13</f>
        <v>241.92</v>
      </c>
      <c r="G18" s="336"/>
      <c r="H18" s="336"/>
      <c r="I18" s="337"/>
      <c r="J18" s="27"/>
      <c r="M18" s="338"/>
    </row>
    <row r="19" spans="2:13" ht="13.5" thickBot="1" x14ac:dyDescent="0.25">
      <c r="B19" s="327" t="s">
        <v>159</v>
      </c>
      <c r="C19" s="328">
        <f>COUNTA('3_Lehrmaterial'!F11:F30)</f>
        <v>6</v>
      </c>
      <c r="D19" s="41"/>
      <c r="E19" s="327" t="s">
        <v>212</v>
      </c>
      <c r="F19" s="352">
        <f>(Summe_Präsenz3+'4.1_Nebenberechnungen'!F30+'4.1_Nebenberechnungen'!G30+Summe_Präsenz_Unterstützung)/C12/C13</f>
        <v>30.88</v>
      </c>
      <c r="G19" s="336"/>
      <c r="H19" s="336"/>
      <c r="I19" s="337"/>
      <c r="J19" s="27"/>
      <c r="K19" s="338"/>
      <c r="L19" s="27"/>
      <c r="M19" s="338"/>
    </row>
    <row r="20" spans="2:13" x14ac:dyDescent="0.2">
      <c r="D20" s="41"/>
      <c r="E20" s="41"/>
      <c r="F20" s="341"/>
      <c r="G20" s="336"/>
      <c r="H20" s="336"/>
      <c r="I20" s="337"/>
      <c r="J20" s="27"/>
      <c r="K20" s="338"/>
      <c r="L20" s="27"/>
      <c r="M20" s="338"/>
    </row>
    <row r="21" spans="2:13" ht="13.5" thickBot="1" x14ac:dyDescent="0.25">
      <c r="D21" s="41"/>
      <c r="G21" s="336"/>
      <c r="H21" s="336"/>
      <c r="I21" s="337"/>
      <c r="J21" s="27"/>
      <c r="K21" s="338"/>
      <c r="L21" s="27"/>
      <c r="M21" s="338"/>
    </row>
    <row r="22" spans="2:13" ht="13.5" customHeight="1" x14ac:dyDescent="0.2">
      <c r="B22" s="332" t="s">
        <v>119</v>
      </c>
      <c r="C22" s="350">
        <f>'5_Prüfungen'!M18</f>
        <v>354.08</v>
      </c>
      <c r="D22" s="41"/>
      <c r="E22" s="332" t="s">
        <v>181</v>
      </c>
      <c r="F22" s="350">
        <f>'6_Gemeinkosten'!I17</f>
        <v>421.34</v>
      </c>
      <c r="G22" s="336"/>
      <c r="H22" s="336"/>
      <c r="I22" s="337"/>
      <c r="J22" s="27"/>
      <c r="K22" s="338"/>
      <c r="L22" s="27"/>
      <c r="M22" s="338"/>
    </row>
    <row r="23" spans="2:13" ht="15.75" customHeight="1" x14ac:dyDescent="0.2">
      <c r="B23" s="334" t="s">
        <v>206</v>
      </c>
      <c r="C23" s="335">
        <f>COUNTA('5_Prüfungen'!C14:C33)</f>
        <v>8</v>
      </c>
      <c r="D23" s="41"/>
      <c r="E23" s="257" t="s">
        <v>140</v>
      </c>
      <c r="F23" s="353">
        <f>'6_Gemeinkosten'!I12/'6_Gemeinkosten'!I15</f>
        <v>365.57</v>
      </c>
      <c r="G23" s="336"/>
      <c r="H23" s="336"/>
      <c r="I23" s="337"/>
      <c r="J23" s="27"/>
      <c r="K23" s="338"/>
      <c r="L23" s="27"/>
      <c r="M23" s="338"/>
    </row>
    <row r="24" spans="2:13" ht="12.75" customHeight="1" x14ac:dyDescent="0.2">
      <c r="B24" s="334" t="s">
        <v>162</v>
      </c>
      <c r="C24" s="335">
        <f>COUNTA('5_Prüfungen'!D14:D33)</f>
        <v>4</v>
      </c>
      <c r="D24" s="41"/>
      <c r="E24" s="257" t="s">
        <v>141</v>
      </c>
      <c r="F24" s="353">
        <f>'6_Gemeinkosten'!I13/'6_Gemeinkosten'!I15</f>
        <v>55.77</v>
      </c>
      <c r="G24" s="336"/>
      <c r="H24" s="336"/>
      <c r="I24" s="337"/>
      <c r="J24" s="27"/>
      <c r="K24" s="338"/>
      <c r="L24" s="27"/>
      <c r="M24" s="338"/>
    </row>
    <row r="25" spans="2:13" ht="13.5" thickBot="1" x14ac:dyDescent="0.25">
      <c r="B25" s="339" t="s">
        <v>163</v>
      </c>
      <c r="C25" s="340">
        <f>COUNTA('5_Prüfungen'!E14:E33)</f>
        <v>12</v>
      </c>
      <c r="D25" s="41"/>
      <c r="E25" s="466" t="s">
        <v>180</v>
      </c>
      <c r="F25" s="467">
        <f>(SUM('6_Gemeinkosten'!F12:F15)+SUM('6_Gemeinkosten'!D23:D26))/'6_Gemeinkosten'!I15</f>
        <v>313.45999999999998</v>
      </c>
      <c r="G25" s="336"/>
      <c r="H25" s="336"/>
      <c r="I25" s="337"/>
      <c r="J25" s="27"/>
      <c r="K25" s="338"/>
      <c r="L25" s="27"/>
      <c r="M25" s="338"/>
    </row>
    <row r="26" spans="2:13" ht="13.5" thickBot="1" x14ac:dyDescent="0.25">
      <c r="B26" s="27"/>
      <c r="C26" s="344"/>
      <c r="D26" s="41"/>
      <c r="E26" s="466" t="s">
        <v>179</v>
      </c>
      <c r="F26" s="467">
        <f>('6_Gemeinkosten'!F16+'6_Gemeinkosten'!D27)/'6_Gemeinkosten'!I15</f>
        <v>15.96</v>
      </c>
      <c r="G26" s="336"/>
      <c r="H26" s="336"/>
      <c r="I26" s="337"/>
      <c r="J26" s="27"/>
      <c r="K26" s="338"/>
      <c r="L26" s="27"/>
      <c r="M26" s="338"/>
    </row>
    <row r="27" spans="2:13" ht="17.25" customHeight="1" thickBot="1" x14ac:dyDescent="0.25">
      <c r="B27" s="342" t="s">
        <v>214</v>
      </c>
      <c r="C27" s="354">
        <f>C16+F16+C22+F22</f>
        <v>1176.75</v>
      </c>
      <c r="D27" s="41"/>
      <c r="E27" s="468" t="s">
        <v>178</v>
      </c>
      <c r="F27" s="469">
        <f>('6_Gemeinkosten'!F17+'6_Gemeinkosten'!D28)/'6_Gemeinkosten'!I15</f>
        <v>91.91</v>
      </c>
      <c r="G27" s="336"/>
      <c r="H27" s="336"/>
      <c r="I27" s="337"/>
      <c r="J27" s="27"/>
      <c r="K27" s="338"/>
      <c r="L27" s="27"/>
      <c r="M27" s="338"/>
    </row>
    <row r="28" spans="2:13" x14ac:dyDescent="0.2">
      <c r="D28" s="41"/>
      <c r="E28" s="341"/>
      <c r="F28" s="341"/>
      <c r="G28" s="336"/>
      <c r="H28" s="336"/>
      <c r="I28" s="337"/>
      <c r="J28" s="27"/>
      <c r="K28" s="338"/>
      <c r="L28" s="27"/>
      <c r="M28" s="338"/>
    </row>
    <row r="29" spans="2:13" x14ac:dyDescent="0.2">
      <c r="D29" s="41"/>
      <c r="G29" s="336"/>
      <c r="H29" s="336"/>
      <c r="I29" s="337"/>
      <c r="J29" s="27"/>
      <c r="K29" s="338"/>
      <c r="L29" s="27"/>
      <c r="M29" s="338"/>
    </row>
    <row r="30" spans="2:13" x14ac:dyDescent="0.2">
      <c r="D30" s="41"/>
      <c r="E30" s="341"/>
      <c r="F30" s="341"/>
      <c r="G30" s="336"/>
      <c r="H30" s="336"/>
      <c r="I30" s="337"/>
      <c r="J30" s="27"/>
      <c r="K30" s="338"/>
      <c r="L30" s="27"/>
      <c r="M30" s="338"/>
    </row>
    <row r="31" spans="2:13" x14ac:dyDescent="0.2">
      <c r="B31" s="26"/>
      <c r="C31" s="345"/>
      <c r="D31" s="41"/>
      <c r="E31" s="341"/>
      <c r="F31" s="341"/>
      <c r="G31" s="336"/>
      <c r="H31" s="336"/>
      <c r="I31" s="337"/>
      <c r="J31" s="27"/>
      <c r="K31" s="338"/>
      <c r="L31" s="27"/>
      <c r="M31" s="338"/>
    </row>
    <row r="32" spans="2:13" x14ac:dyDescent="0.2">
      <c r="D32" s="41"/>
      <c r="E32" s="341"/>
      <c r="F32" s="341"/>
      <c r="G32" s="336"/>
      <c r="H32" s="336"/>
      <c r="I32" s="337"/>
      <c r="J32" s="27"/>
      <c r="K32" s="338"/>
      <c r="L32" s="27"/>
      <c r="M32" s="338"/>
    </row>
    <row r="33" spans="2:13" x14ac:dyDescent="0.2">
      <c r="B33" s="27"/>
      <c r="C33" s="346"/>
      <c r="I33" s="337"/>
      <c r="J33" s="27"/>
      <c r="K33" s="338"/>
      <c r="L33" s="27"/>
      <c r="M33" s="338"/>
    </row>
    <row r="34" spans="2:13" x14ac:dyDescent="0.2">
      <c r="B34" s="329"/>
      <c r="C34" s="347"/>
      <c r="D34" s="47"/>
      <c r="E34" s="348"/>
      <c r="F34" s="348"/>
      <c r="G34" s="338"/>
      <c r="H34" s="338"/>
      <c r="I34" s="337"/>
      <c r="J34" s="27"/>
      <c r="K34" s="338"/>
      <c r="L34" s="27"/>
      <c r="M34" s="338"/>
    </row>
    <row r="35" spans="2:13" hidden="1" x14ac:dyDescent="0.2">
      <c r="B35" s="280" t="s">
        <v>144</v>
      </c>
      <c r="C35" s="280"/>
      <c r="D35" s="27"/>
      <c r="E35" s="348"/>
      <c r="F35" s="348"/>
      <c r="G35" s="338"/>
      <c r="H35" s="338"/>
      <c r="I35" s="337"/>
      <c r="J35" s="27"/>
      <c r="K35" s="338"/>
      <c r="L35" s="27"/>
      <c r="M35" s="338"/>
    </row>
    <row r="36" spans="2:13" hidden="1" x14ac:dyDescent="0.2">
      <c r="B36" s="27"/>
      <c r="C36" s="349"/>
      <c r="E36" s="348"/>
      <c r="F36" s="348"/>
      <c r="G36" s="338"/>
      <c r="H36" s="338"/>
      <c r="I36" s="337"/>
      <c r="J36" s="27"/>
      <c r="K36" s="338"/>
      <c r="L36" s="27"/>
      <c r="M36" s="338"/>
    </row>
    <row r="37" spans="2:13" hidden="1" x14ac:dyDescent="0.2">
      <c r="B37" s="330"/>
      <c r="C37" s="344"/>
      <c r="D37" s="348"/>
      <c r="E37" s="348"/>
      <c r="F37" s="348"/>
      <c r="G37" s="338"/>
      <c r="H37" s="338"/>
      <c r="I37" s="337"/>
      <c r="J37" s="27"/>
      <c r="K37" s="338"/>
      <c r="L37" s="27"/>
      <c r="M37" s="338"/>
    </row>
    <row r="38" spans="2:13" hidden="1" x14ac:dyDescent="0.2">
      <c r="B38" s="34" t="s">
        <v>229</v>
      </c>
      <c r="F38" s="348"/>
      <c r="G38" s="338"/>
      <c r="H38" s="338"/>
      <c r="I38" s="337"/>
      <c r="J38" s="27"/>
      <c r="K38" s="338"/>
      <c r="L38" s="27"/>
      <c r="M38" s="338"/>
    </row>
    <row r="39" spans="2:13" hidden="1" x14ac:dyDescent="0.2">
      <c r="B39" s="417" t="s">
        <v>234</v>
      </c>
      <c r="E39" s="344"/>
      <c r="F39" s="348"/>
      <c r="G39" s="338"/>
      <c r="H39" s="338"/>
      <c r="I39" s="337"/>
      <c r="J39" s="337"/>
      <c r="K39" s="337"/>
      <c r="L39" s="27"/>
      <c r="M39" s="338"/>
    </row>
    <row r="40" spans="2:13" hidden="1" x14ac:dyDescent="0.2"/>
    <row r="41" spans="2:13" hidden="1" x14ac:dyDescent="0.2">
      <c r="B41" s="34" t="s">
        <v>230</v>
      </c>
    </row>
    <row r="42" spans="2:13" hidden="1" x14ac:dyDescent="0.2">
      <c r="B42" s="417" t="s">
        <v>231</v>
      </c>
    </row>
  </sheetData>
  <sheetProtection password="C2D2" sheet="1" objects="1" scenarios="1"/>
  <customSheetViews>
    <customSheetView guid="{2F462239-8624-472D-83C3-142E64AAE7D6}" fitToPage="1">
      <selection activeCell="B13" sqref="B13"/>
      <pageMargins left="0.7" right="0.7" top="0.78740157499999996" bottom="0.78740157499999996" header="0.3" footer="0.3"/>
      <pageSetup paperSize="8" orientation="portrait" r:id="rId1"/>
      <headerFooter>
        <oddFooter>&amp;C&amp;8&amp;Z&amp;F</oddFooter>
      </headerFooter>
    </customSheetView>
  </customSheetViews>
  <mergeCells count="1">
    <mergeCell ref="C2:E2"/>
  </mergeCells>
  <pageMargins left="0.7" right="0.7" top="0.78740157499999996" bottom="0.78740157499999996" header="0.3" footer="0.3"/>
  <pageSetup paperSize="9" scale="94" orientation="landscape" r:id="rId2"/>
  <headerFooter>
    <oddHeader xml:space="preserve">&amp;C
&amp;R&amp;7 7_Gesamtkosten
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B1:W40"/>
  <sheetViews>
    <sheetView showGridLines="0" zoomScale="115" zoomScaleNormal="115" workbookViewId="0">
      <selection activeCell="F41" sqref="F41"/>
    </sheetView>
  </sheetViews>
  <sheetFormatPr baseColWidth="10" defaultColWidth="11.42578125" defaultRowHeight="12.75" x14ac:dyDescent="0.2"/>
  <cols>
    <col min="1" max="1" width="8.42578125" style="32" customWidth="1"/>
    <col min="2" max="2" width="27.5703125" style="32" customWidth="1"/>
    <col min="3" max="3" width="7.5703125" style="32" customWidth="1"/>
    <col min="4" max="11" width="5.85546875" style="32" customWidth="1"/>
    <col min="12" max="12" width="6.7109375" style="32" customWidth="1"/>
    <col min="13" max="19" width="5.85546875" style="32" customWidth="1"/>
    <col min="20" max="20" width="5.42578125" style="32" customWidth="1"/>
    <col min="21" max="21" width="8.140625" style="32" customWidth="1"/>
    <col min="22" max="22" width="4.28515625" style="32" customWidth="1"/>
    <col min="23" max="24" width="11.42578125" style="32"/>
    <col min="25" max="25" width="11.140625" style="32" customWidth="1"/>
    <col min="26" max="16384" width="11.42578125" style="32"/>
  </cols>
  <sheetData>
    <row r="1" spans="2:23" ht="13.5" thickBot="1" x14ac:dyDescent="0.25">
      <c r="T1" s="139" t="s">
        <v>33</v>
      </c>
      <c r="U1" s="149">
        <f>Stand_Datum</f>
        <v>43564</v>
      </c>
      <c r="W1" s="291" t="s">
        <v>105</v>
      </c>
    </row>
    <row r="2" spans="2:23" ht="13.5" thickBot="1" x14ac:dyDescent="0.25">
      <c r="I2" s="478" t="str">
        <f>Studiengangsbezeichnung</f>
        <v>Musterstudiengang</v>
      </c>
      <c r="J2" s="479"/>
      <c r="K2" s="479"/>
      <c r="L2" s="479"/>
      <c r="M2" s="479"/>
      <c r="N2" s="480"/>
    </row>
    <row r="6" spans="2:23" x14ac:dyDescent="0.2">
      <c r="B6" s="124" t="s">
        <v>190</v>
      </c>
      <c r="G6" s="289"/>
    </row>
    <row r="7" spans="2:23" x14ac:dyDescent="0.2">
      <c r="B7" s="124"/>
      <c r="G7" s="289"/>
    </row>
    <row r="8" spans="2:23" x14ac:dyDescent="0.2">
      <c r="B8" s="125" t="s">
        <v>103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7"/>
      <c r="O8" s="27"/>
      <c r="P8" s="27"/>
      <c r="Q8" s="27"/>
      <c r="R8" s="27"/>
      <c r="S8" s="27"/>
    </row>
    <row r="9" spans="2:23" x14ac:dyDescent="0.2">
      <c r="B9" s="141" t="s">
        <v>11</v>
      </c>
      <c r="C9" s="38">
        <v>1</v>
      </c>
      <c r="D9" s="38">
        <v>2</v>
      </c>
      <c r="E9" s="38">
        <v>3</v>
      </c>
      <c r="F9" s="38">
        <v>4</v>
      </c>
      <c r="G9" s="38">
        <v>5</v>
      </c>
      <c r="H9" s="38">
        <v>6</v>
      </c>
      <c r="I9" s="38">
        <v>7</v>
      </c>
      <c r="J9" s="38">
        <v>8</v>
      </c>
      <c r="K9" s="38">
        <v>9</v>
      </c>
      <c r="L9" s="38">
        <v>10</v>
      </c>
      <c r="M9" s="38">
        <v>11</v>
      </c>
      <c r="N9" s="38">
        <v>12</v>
      </c>
      <c r="O9" s="38">
        <v>13</v>
      </c>
      <c r="P9" s="38">
        <v>14</v>
      </c>
      <c r="Q9" s="38">
        <v>15</v>
      </c>
      <c r="R9" s="38">
        <v>16</v>
      </c>
      <c r="S9" s="38">
        <v>17</v>
      </c>
      <c r="T9" s="38">
        <v>18</v>
      </c>
    </row>
    <row r="10" spans="2:23" x14ac:dyDescent="0.2">
      <c r="B10" s="142" t="s">
        <v>58</v>
      </c>
      <c r="C10" s="129">
        <f>IF('1_Allg_Angaben'!$C$19='1_Allg_Angaben'!$B$26,IF(AND('1_Allg_Angaben'!$C$19='1_Allg_Angaben'!$B$26,D9&gt;Dauer_Studium,D9&lt;=Dauer_Studium+2),Aufnahmekapazität*(100-Abschlussquote)/100,IF(D9&gt;Dauer_Studium+2,"",Aufnahmekapazität)),"")</f>
        <v>50</v>
      </c>
      <c r="D10" s="129">
        <f>IF('1_Allg_Angaben'!$C$19='1_Allg_Angaben'!$B$26,IF(AND('1_Allg_Angaben'!$C$19='1_Allg_Angaben'!$B$26,D9&gt;Dauer_Studium,D9&lt;=Dauer_Studium+2),Aufnahmekapazität*(100-Abschlussquote)/100,IF(D9&gt;Dauer_Studium+2,"",Aufnahmekapazität)),"")</f>
        <v>50</v>
      </c>
      <c r="E10" s="129">
        <f>IF('1_Allg_Angaben'!$C$19='1_Allg_Angaben'!$B$26,IF(AND('1_Allg_Angaben'!$C$19='1_Allg_Angaben'!$B$26,E9&gt;Dauer_Studium,E9&lt;=Dauer_Studium+2),Aufnahmekapazität*(100-Abschlussquote)/100,IF(E9&gt;Dauer_Studium+2,"",Aufnahmekapazität)),"")</f>
        <v>50</v>
      </c>
      <c r="F10" s="129">
        <f>IF('1_Allg_Angaben'!$C$19='1_Allg_Angaben'!$B$26,IF(AND('1_Allg_Angaben'!$C$19='1_Allg_Angaben'!$B$26,F9&gt;Dauer_Studium,F9&lt;=Dauer_Studium+2),Aufnahmekapazität*(100-Abschlussquote)/100,IF(F9&gt;Dauer_Studium+2,"",Aufnahmekapazität)),"")</f>
        <v>50</v>
      </c>
      <c r="G10" s="129">
        <f>IF('1_Allg_Angaben'!$C$19='1_Allg_Angaben'!$B$26,IF(AND('1_Allg_Angaben'!$C$19='1_Allg_Angaben'!$B$26,G9&gt;Dauer_Studium,G9&lt;=Dauer_Studium+2),Aufnahmekapazität*(100-Abschlussquote)/100,IF(G9&gt;Dauer_Studium+2,"",Aufnahmekapazität)),"")</f>
        <v>50</v>
      </c>
      <c r="H10" s="129">
        <f>IF('1_Allg_Angaben'!$C$19='1_Allg_Angaben'!$B$26,IF(AND('1_Allg_Angaben'!$C$19='1_Allg_Angaben'!$B$26,H9&gt;Dauer_Studium,H9&lt;=Dauer_Studium+2),Aufnahmekapazität*(100-Abschlussquote)/100,IF(H9&gt;Dauer_Studium+2,"",Aufnahmekapazität)),"")</f>
        <v>10</v>
      </c>
      <c r="I10" s="129">
        <f>IF('1_Allg_Angaben'!$C$19='1_Allg_Angaben'!$B$26,IF(AND('1_Allg_Angaben'!$C$19='1_Allg_Angaben'!$B$26,I9&gt;Dauer_Studium,I9&lt;=Dauer_Studium+2),Aufnahmekapazität*(100-Abschlussquote)/100,IF(I9&gt;Dauer_Studium+2,"",Aufnahmekapazität)),"")</f>
        <v>10</v>
      </c>
      <c r="J10" s="129" t="str">
        <f>IF('1_Allg_Angaben'!$C$19='1_Allg_Angaben'!$B$26,IF(AND('1_Allg_Angaben'!$C$19='1_Allg_Angaben'!$B$26,J9&gt;Dauer_Studium,J9&lt;=Dauer_Studium+2),Aufnahmekapazität*(100-Abschlussquote)/100,IF(J9&gt;Dauer_Studium+2,"",Aufnahmekapazität)),"")</f>
        <v/>
      </c>
      <c r="K10" s="129" t="str">
        <f>IF(AND('1_Allg_Angaben'!$C$19='1_Allg_Angaben'!$B$26,K9&gt;Dauer_Studium,K9&lt;=Dauer_Studium+2),Aufnahmekapazität*(100-Abschlussquote)/100,IF(K9&gt;Dauer_Studium+2,"",Aufnahmekapazität))</f>
        <v/>
      </c>
      <c r="L10" s="129"/>
      <c r="M10" s="129"/>
      <c r="N10" s="129"/>
      <c r="O10" s="129"/>
      <c r="P10" s="129"/>
      <c r="Q10" s="129"/>
      <c r="R10" s="129"/>
      <c r="S10" s="129"/>
      <c r="T10" s="129"/>
    </row>
    <row r="11" spans="2:23" x14ac:dyDescent="0.2">
      <c r="B11" s="142" t="s">
        <v>59</v>
      </c>
      <c r="C11" s="129"/>
      <c r="D11" s="129"/>
      <c r="E11" s="129">
        <f t="shared" ref="E11:L11" si="0">C10</f>
        <v>50</v>
      </c>
      <c r="F11" s="129">
        <f t="shared" si="0"/>
        <v>50</v>
      </c>
      <c r="G11" s="129">
        <f t="shared" si="0"/>
        <v>50</v>
      </c>
      <c r="H11" s="129">
        <f t="shared" si="0"/>
        <v>50</v>
      </c>
      <c r="I11" s="129">
        <f t="shared" si="0"/>
        <v>50</v>
      </c>
      <c r="J11" s="129">
        <f t="shared" si="0"/>
        <v>10</v>
      </c>
      <c r="K11" s="129">
        <f t="shared" si="0"/>
        <v>10</v>
      </c>
      <c r="L11" s="129" t="str">
        <f t="shared" si="0"/>
        <v/>
      </c>
      <c r="M11" s="129"/>
      <c r="N11" s="129"/>
      <c r="O11" s="129"/>
      <c r="P11" s="129"/>
      <c r="Q11" s="129"/>
      <c r="R11" s="129"/>
      <c r="S11" s="129"/>
      <c r="T11" s="129"/>
    </row>
    <row r="12" spans="2:23" x14ac:dyDescent="0.2">
      <c r="B12" s="142" t="s">
        <v>60</v>
      </c>
      <c r="C12" s="129"/>
      <c r="D12" s="129"/>
      <c r="E12" s="129"/>
      <c r="F12" s="129"/>
      <c r="G12" s="129">
        <f t="shared" ref="G12:N12" si="1">E11</f>
        <v>50</v>
      </c>
      <c r="H12" s="129">
        <f t="shared" si="1"/>
        <v>50</v>
      </c>
      <c r="I12" s="129">
        <f t="shared" si="1"/>
        <v>50</v>
      </c>
      <c r="J12" s="129">
        <f t="shared" si="1"/>
        <v>50</v>
      </c>
      <c r="K12" s="129">
        <f t="shared" si="1"/>
        <v>50</v>
      </c>
      <c r="L12" s="129">
        <f t="shared" si="1"/>
        <v>10</v>
      </c>
      <c r="M12" s="129">
        <f t="shared" si="1"/>
        <v>10</v>
      </c>
      <c r="N12" s="129" t="str">
        <f t="shared" si="1"/>
        <v/>
      </c>
      <c r="O12" s="129"/>
      <c r="P12" s="129"/>
      <c r="Q12" s="129"/>
      <c r="R12" s="129"/>
      <c r="S12" s="129"/>
      <c r="T12" s="129"/>
    </row>
    <row r="13" spans="2:23" x14ac:dyDescent="0.2">
      <c r="B13" s="142" t="s">
        <v>61</v>
      </c>
      <c r="C13" s="129"/>
      <c r="D13" s="129"/>
      <c r="E13" s="129"/>
      <c r="F13" s="129"/>
      <c r="G13" s="129"/>
      <c r="H13" s="129"/>
      <c r="I13" s="129">
        <f t="shared" ref="I13:P13" si="2">G12</f>
        <v>50</v>
      </c>
      <c r="J13" s="129">
        <f t="shared" si="2"/>
        <v>50</v>
      </c>
      <c r="K13" s="129">
        <f t="shared" si="2"/>
        <v>50</v>
      </c>
      <c r="L13" s="129">
        <f t="shared" si="2"/>
        <v>50</v>
      </c>
      <c r="M13" s="129">
        <f t="shared" si="2"/>
        <v>50</v>
      </c>
      <c r="N13" s="129">
        <f t="shared" si="2"/>
        <v>10</v>
      </c>
      <c r="O13" s="129">
        <f t="shared" si="2"/>
        <v>10</v>
      </c>
      <c r="P13" s="129" t="str">
        <f t="shared" si="2"/>
        <v/>
      </c>
      <c r="Q13" s="129"/>
      <c r="R13" s="129"/>
      <c r="S13" s="129"/>
      <c r="T13" s="129"/>
    </row>
    <row r="14" spans="2:23" x14ac:dyDescent="0.2">
      <c r="B14" s="142" t="s">
        <v>62</v>
      </c>
      <c r="C14" s="129"/>
      <c r="D14" s="129"/>
      <c r="E14" s="129"/>
      <c r="F14" s="129"/>
      <c r="G14" s="129"/>
      <c r="H14" s="129"/>
      <c r="I14" s="129"/>
      <c r="J14" s="129"/>
      <c r="K14" s="129">
        <f t="shared" ref="K14:R14" si="3">I13</f>
        <v>50</v>
      </c>
      <c r="L14" s="129">
        <f t="shared" si="3"/>
        <v>50</v>
      </c>
      <c r="M14" s="129">
        <f t="shared" si="3"/>
        <v>50</v>
      </c>
      <c r="N14" s="129">
        <f t="shared" si="3"/>
        <v>50</v>
      </c>
      <c r="O14" s="129">
        <f t="shared" si="3"/>
        <v>50</v>
      </c>
      <c r="P14" s="129">
        <f t="shared" si="3"/>
        <v>10</v>
      </c>
      <c r="Q14" s="129">
        <f t="shared" si="3"/>
        <v>10</v>
      </c>
      <c r="R14" s="129" t="str">
        <f t="shared" si="3"/>
        <v/>
      </c>
      <c r="S14" s="129"/>
      <c r="T14" s="129"/>
    </row>
    <row r="15" spans="2:23" x14ac:dyDescent="0.2">
      <c r="B15" s="142" t="s">
        <v>63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>
        <f t="shared" ref="M15:T15" si="4">K14</f>
        <v>50</v>
      </c>
      <c r="N15" s="129">
        <f t="shared" si="4"/>
        <v>50</v>
      </c>
      <c r="O15" s="129">
        <f t="shared" si="4"/>
        <v>50</v>
      </c>
      <c r="P15" s="129">
        <f t="shared" si="4"/>
        <v>50</v>
      </c>
      <c r="Q15" s="129">
        <f t="shared" si="4"/>
        <v>50</v>
      </c>
      <c r="R15" s="129">
        <f t="shared" si="4"/>
        <v>10</v>
      </c>
      <c r="S15" s="129">
        <f t="shared" si="4"/>
        <v>10</v>
      </c>
      <c r="T15" s="129" t="str">
        <f t="shared" si="4"/>
        <v/>
      </c>
    </row>
    <row r="16" spans="2:23" hidden="1" x14ac:dyDescent="0.2">
      <c r="B16" s="141" t="s">
        <v>6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</row>
    <row r="17" spans="2:21" hidden="1" x14ac:dyDescent="0.2">
      <c r="B17" s="141" t="s">
        <v>7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</row>
    <row r="18" spans="2:21" x14ac:dyDescent="0.2">
      <c r="B18" s="142" t="s">
        <v>8</v>
      </c>
      <c r="C18" s="143">
        <f>IF(C10&lt;&gt;"",SUM(C10:C17),"")</f>
        <v>50</v>
      </c>
      <c r="D18" s="143">
        <f>IF(SUM(D10:D17)="","",SUM(D10:D17))</f>
        <v>50</v>
      </c>
      <c r="E18" s="143">
        <f t="shared" ref="E18:S18" si="5">IF(SUM(E10:E17)="","",SUM(E10:E17))</f>
        <v>100</v>
      </c>
      <c r="F18" s="143">
        <f t="shared" si="5"/>
        <v>100</v>
      </c>
      <c r="G18" s="143">
        <f t="shared" si="5"/>
        <v>150</v>
      </c>
      <c r="H18" s="143">
        <f t="shared" si="5"/>
        <v>110</v>
      </c>
      <c r="I18" s="143">
        <f t="shared" si="5"/>
        <v>160</v>
      </c>
      <c r="J18" s="143">
        <f t="shared" si="5"/>
        <v>110</v>
      </c>
      <c r="K18" s="143">
        <f t="shared" si="5"/>
        <v>160</v>
      </c>
      <c r="L18" s="143">
        <f t="shared" si="5"/>
        <v>110</v>
      </c>
      <c r="M18" s="143">
        <f t="shared" si="5"/>
        <v>160</v>
      </c>
      <c r="N18" s="143">
        <f t="shared" si="5"/>
        <v>110</v>
      </c>
      <c r="O18" s="143">
        <f t="shared" si="5"/>
        <v>110</v>
      </c>
      <c r="P18" s="143">
        <f t="shared" si="5"/>
        <v>60</v>
      </c>
      <c r="Q18" s="143">
        <f t="shared" si="5"/>
        <v>60</v>
      </c>
      <c r="R18" s="143">
        <f t="shared" si="5"/>
        <v>10</v>
      </c>
      <c r="S18" s="143">
        <f t="shared" si="5"/>
        <v>10</v>
      </c>
      <c r="T18" s="143">
        <f>IF(SUM(T10:T17)="","",SUM(T10:T17))</f>
        <v>0</v>
      </c>
    </row>
    <row r="19" spans="2:21" x14ac:dyDescent="0.2">
      <c r="B19" s="142" t="s">
        <v>10</v>
      </c>
      <c r="C19" s="144">
        <f>IF(C10&lt;&gt;"",C18,"")</f>
        <v>50</v>
      </c>
      <c r="D19" s="144">
        <f>IF(D10&lt;&gt;"",(D18+C18)/D9,"")</f>
        <v>50</v>
      </c>
      <c r="E19" s="144">
        <f>IF(E11&lt;&gt;"",(E18+D18+C18)/E9,"")</f>
        <v>66.7</v>
      </c>
      <c r="F19" s="144">
        <f>IF(F11&lt;&gt;"",(F18+E18+D18+C18)/F9,"")</f>
        <v>75</v>
      </c>
      <c r="G19" s="144">
        <f>IF(G12&lt;&gt;"",SUM(C18:G18)/G9,"")</f>
        <v>90</v>
      </c>
      <c r="H19" s="144">
        <f>IF(H12&lt;&gt;"",SUM(C18:H18)/H9,"")</f>
        <v>93.3</v>
      </c>
      <c r="I19" s="144">
        <f>IF(I13&lt;&gt;"",SUM(C18:I18)/I9,"")</f>
        <v>102.9</v>
      </c>
      <c r="J19" s="144">
        <f>IF(J13&lt;&gt;"",SUM(C18:J18)/J9,"")</f>
        <v>103.8</v>
      </c>
      <c r="K19" s="144">
        <f>IF(K14&lt;&gt;"",SUM(C18:K18)/K9,"")</f>
        <v>110</v>
      </c>
      <c r="L19" s="144">
        <f>IF(L14&lt;&gt;"",SUM(C18:L18)/L9,"")</f>
        <v>110</v>
      </c>
      <c r="M19" s="144">
        <f t="shared" ref="M19:R19" si="6">IF(M15&lt;&gt;"",SUM(C18:M18)/M9,"")</f>
        <v>114.5</v>
      </c>
      <c r="N19" s="144">
        <f t="shared" si="6"/>
        <v>110</v>
      </c>
      <c r="O19" s="144">
        <f t="shared" si="6"/>
        <v>106.2</v>
      </c>
      <c r="P19" s="144">
        <f t="shared" si="6"/>
        <v>95.7</v>
      </c>
      <c r="Q19" s="144">
        <f t="shared" si="6"/>
        <v>86.7</v>
      </c>
      <c r="R19" s="144">
        <f t="shared" si="6"/>
        <v>72.5</v>
      </c>
      <c r="S19" s="144">
        <f t="shared" ref="S19:T19" si="7">IF(S15&lt;&gt;"",SUM(I18:S18)/S9,"")</f>
        <v>62.4</v>
      </c>
      <c r="T19" s="144" t="str">
        <f t="shared" si="7"/>
        <v/>
      </c>
    </row>
    <row r="20" spans="2:21" x14ac:dyDescent="0.2">
      <c r="B20" s="141" t="s">
        <v>12</v>
      </c>
      <c r="C20" s="147">
        <f>IF(C10&lt;&gt;"",SUM(C19:T19)/T9,"")</f>
        <v>83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31"/>
      <c r="O20" s="47"/>
      <c r="P20" s="47"/>
      <c r="Q20" s="47"/>
      <c r="R20" s="132"/>
      <c r="S20" s="27"/>
      <c r="T20" s="29"/>
    </row>
    <row r="21" spans="2:21" x14ac:dyDescent="0.2">
      <c r="B21" s="47"/>
      <c r="C21" s="292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31"/>
      <c r="O21" s="47"/>
      <c r="P21" s="47"/>
      <c r="Q21" s="47"/>
      <c r="R21" s="132"/>
      <c r="S21" s="27"/>
      <c r="T21" s="29"/>
    </row>
    <row r="22" spans="2:21" x14ac:dyDescent="0.2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27"/>
      <c r="O22" s="27"/>
      <c r="P22" s="27"/>
      <c r="Q22" s="27"/>
      <c r="R22" s="47"/>
      <c r="S22" s="27"/>
    </row>
    <row r="23" spans="2:21" x14ac:dyDescent="0.2">
      <c r="B23" s="34"/>
      <c r="C23" s="133"/>
      <c r="D23" s="34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34"/>
      <c r="P23" s="34"/>
      <c r="Q23" s="34"/>
      <c r="R23" s="34"/>
      <c r="S23" s="34"/>
    </row>
    <row r="24" spans="2:21" x14ac:dyDescent="0.2">
      <c r="B24" s="125" t="s">
        <v>104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</row>
    <row r="25" spans="2:21" x14ac:dyDescent="0.2">
      <c r="B25" s="81" t="s">
        <v>11</v>
      </c>
      <c r="C25" s="38">
        <v>1</v>
      </c>
      <c r="D25" s="38">
        <v>2</v>
      </c>
      <c r="E25" s="38">
        <v>3</v>
      </c>
      <c r="F25" s="38">
        <v>4</v>
      </c>
      <c r="G25" s="38">
        <v>5</v>
      </c>
      <c r="H25" s="38">
        <v>6</v>
      </c>
      <c r="I25" s="38">
        <v>7</v>
      </c>
      <c r="J25" s="38">
        <v>8</v>
      </c>
      <c r="K25" s="38">
        <v>9</v>
      </c>
      <c r="L25" s="38">
        <v>10</v>
      </c>
      <c r="M25" s="38">
        <v>11</v>
      </c>
      <c r="N25" s="38">
        <v>12</v>
      </c>
      <c r="O25" s="38">
        <v>13</v>
      </c>
      <c r="P25" s="38">
        <v>14</v>
      </c>
      <c r="Q25" s="38">
        <v>15</v>
      </c>
      <c r="R25" s="38">
        <v>16</v>
      </c>
      <c r="S25" s="38">
        <v>17</v>
      </c>
      <c r="T25" s="38">
        <v>18</v>
      </c>
      <c r="U25" s="290">
        <v>19</v>
      </c>
    </row>
    <row r="26" spans="2:21" x14ac:dyDescent="0.2">
      <c r="B26" s="142" t="s">
        <v>0</v>
      </c>
      <c r="C26" s="134" t="str">
        <f>IF('1_Allg_Angaben'!$C$19='1_Allg_Angaben'!$B$27,IF(AND('1_Allg_Angaben'!$C$19='1_Allg_Angaben'!$B$27,C25&gt;Dauer_Studium,C25&lt;=Dauer_Studium+2),Aufnahmekapazität*(100-Abschlussquote)/100,IF(C25&gt;Dauer_Studium+2,"",Aufnahmekapazität)),"")</f>
        <v/>
      </c>
      <c r="D26" s="134" t="str">
        <f>IF('1_Allg_Angaben'!$C$19='1_Allg_Angaben'!$B$27,IF(AND('1_Allg_Angaben'!$C$19='1_Allg_Angaben'!$B$27,D25&gt;Dauer_Studium,D25&lt;=Dauer_Studium+2),Aufnahmekapazität*(100-Abschlussquote)/100,IF(D25&gt;Dauer_Studium+2,"",Aufnahmekapazität)),"")</f>
        <v/>
      </c>
      <c r="E26" s="134" t="str">
        <f>IF('1_Allg_Angaben'!$C$19='1_Allg_Angaben'!$B$27,IF(AND('1_Allg_Angaben'!$C$19='1_Allg_Angaben'!$B$27,E25&gt;Dauer_Studium,E25&lt;=Dauer_Studium+2),Aufnahmekapazität*(100-Abschlussquote)/100,IF(E25&gt;Dauer_Studium+2,"",Aufnahmekapazität)),"")</f>
        <v/>
      </c>
      <c r="F26" s="134" t="str">
        <f>IF('1_Allg_Angaben'!$C$19='1_Allg_Angaben'!$B$27,IF(AND('1_Allg_Angaben'!$C$19='1_Allg_Angaben'!$B$27,F25&gt;Dauer_Studium,F25&lt;=Dauer_Studium+2),Aufnahmekapazität*(100-Abschlussquote)/100,IF(F25&gt;Dauer_Studium+2,"",Aufnahmekapazität)),"")</f>
        <v/>
      </c>
      <c r="G26" s="134" t="str">
        <f>IF('1_Allg_Angaben'!$C$19='1_Allg_Angaben'!$B$27,IF(AND('1_Allg_Angaben'!$C$19='1_Allg_Angaben'!$B$27,G25&gt;Dauer_Studium,G25&lt;=Dauer_Studium+2),Aufnahmekapazität*(100-Abschlussquote)/100,IF(G25&gt;Dauer_Studium+2,"",Aufnahmekapazität)),"")</f>
        <v/>
      </c>
      <c r="H26" s="134" t="str">
        <f>IF('1_Allg_Angaben'!$C$19='1_Allg_Angaben'!$B$27,IF(AND('1_Allg_Angaben'!$C$19='1_Allg_Angaben'!$B$27,H25&gt;Dauer_Studium,H25&lt;=Dauer_Studium+2),Aufnahmekapazität*(100-Abschlussquote)/100,IF(H25&gt;Dauer_Studium+2,"",Aufnahmekapazität)),"")</f>
        <v/>
      </c>
      <c r="I26" s="134" t="str">
        <f>IF('1_Allg_Angaben'!$C$19='1_Allg_Angaben'!$B$27,IF(AND('1_Allg_Angaben'!$C$19='1_Allg_Angaben'!$B$27,I25&gt;Dauer_Studium,I25&lt;=Dauer_Studium+2),Aufnahmekapazität*(100-Abschlussquote)/100,IF(I25&gt;Dauer_Studium+2,"",Aufnahmekapazität)),"")</f>
        <v/>
      </c>
      <c r="J26" s="134" t="str">
        <f>IF('1_Allg_Angaben'!$C$19='1_Allg_Angaben'!$B$27,IF(AND('1_Allg_Angaben'!$C$19='1_Allg_Angaben'!$B$27,J25&gt;Dauer_Studium,J25&lt;=Dauer_Studium+2),Aufnahmekapazität*(100-Abschlussquote)/100,IF(J25&gt;Dauer_Studium+2,"",Aufnahmekapazität)),"")</f>
        <v/>
      </c>
      <c r="K26" s="134" t="str">
        <f>IF(AND('1_Allg_Angaben'!$C$19='1_Allg_Angaben'!$B$27,K25&gt;Dauer_Studium,K25&lt;=Dauer_Studium+2),Aufnahmekapazität*(100-Abschlussquote)/100,IF(K25&gt;Dauer_Studium+2,"",Aufnahmekapazität))</f>
        <v/>
      </c>
      <c r="L26" s="134"/>
      <c r="M26" s="134"/>
      <c r="N26" s="134"/>
      <c r="O26" s="134"/>
      <c r="P26" s="134"/>
      <c r="Q26" s="134"/>
      <c r="R26" s="134"/>
      <c r="S26" s="136"/>
      <c r="T26" s="136"/>
      <c r="U26" s="221"/>
    </row>
    <row r="27" spans="2:21" x14ac:dyDescent="0.2">
      <c r="B27" s="142" t="s">
        <v>28</v>
      </c>
      <c r="C27" s="134"/>
      <c r="D27" s="134" t="str">
        <f t="shared" ref="D27:J27" si="8">C26</f>
        <v/>
      </c>
      <c r="E27" s="134" t="str">
        <f t="shared" si="8"/>
        <v/>
      </c>
      <c r="F27" s="134" t="str">
        <f t="shared" si="8"/>
        <v/>
      </c>
      <c r="G27" s="134" t="str">
        <f t="shared" si="8"/>
        <v/>
      </c>
      <c r="H27" s="134" t="str">
        <f t="shared" si="8"/>
        <v/>
      </c>
      <c r="I27" s="134" t="str">
        <f t="shared" si="8"/>
        <v/>
      </c>
      <c r="J27" s="134" t="str">
        <f t="shared" si="8"/>
        <v/>
      </c>
      <c r="K27" s="134" t="str">
        <f t="shared" ref="K27" si="9">J26</f>
        <v/>
      </c>
      <c r="L27" s="134" t="str">
        <f t="shared" ref="L27:L28" si="10">K26</f>
        <v/>
      </c>
      <c r="M27" s="134"/>
      <c r="N27" s="134"/>
      <c r="O27" s="134"/>
      <c r="P27" s="134"/>
      <c r="Q27" s="134"/>
      <c r="R27" s="134"/>
      <c r="S27" s="136"/>
      <c r="T27" s="136"/>
      <c r="U27" s="221"/>
    </row>
    <row r="28" spans="2:21" x14ac:dyDescent="0.2">
      <c r="B28" s="142" t="s">
        <v>1</v>
      </c>
      <c r="C28" s="134"/>
      <c r="D28" s="134"/>
      <c r="E28" s="134" t="str">
        <f t="shared" ref="E28:K28" si="11">D27</f>
        <v/>
      </c>
      <c r="F28" s="134" t="str">
        <f t="shared" si="11"/>
        <v/>
      </c>
      <c r="G28" s="134" t="str">
        <f t="shared" si="11"/>
        <v/>
      </c>
      <c r="H28" s="134" t="str">
        <f t="shared" si="11"/>
        <v/>
      </c>
      <c r="I28" s="134" t="str">
        <f t="shared" si="11"/>
        <v/>
      </c>
      <c r="J28" s="134" t="str">
        <f t="shared" si="11"/>
        <v/>
      </c>
      <c r="K28" s="134" t="str">
        <f t="shared" si="11"/>
        <v/>
      </c>
      <c r="L28" s="134" t="str">
        <f t="shared" si="10"/>
        <v/>
      </c>
      <c r="M28" s="134" t="str">
        <f t="shared" ref="M28:M29" si="12">L27</f>
        <v/>
      </c>
      <c r="N28" s="134"/>
      <c r="O28" s="134"/>
      <c r="P28" s="134"/>
      <c r="Q28" s="134"/>
      <c r="R28" s="134"/>
      <c r="S28" s="136"/>
      <c r="T28" s="136"/>
      <c r="U28" s="221"/>
    </row>
    <row r="29" spans="2:21" x14ac:dyDescent="0.2">
      <c r="B29" s="142" t="s">
        <v>29</v>
      </c>
      <c r="C29" s="134"/>
      <c r="D29" s="134"/>
      <c r="E29" s="134"/>
      <c r="F29" s="134" t="str">
        <f t="shared" ref="F29:L29" si="13">E28</f>
        <v/>
      </c>
      <c r="G29" s="134" t="str">
        <f t="shared" si="13"/>
        <v/>
      </c>
      <c r="H29" s="134" t="str">
        <f t="shared" si="13"/>
        <v/>
      </c>
      <c r="I29" s="134" t="str">
        <f t="shared" si="13"/>
        <v/>
      </c>
      <c r="J29" s="134" t="str">
        <f t="shared" si="13"/>
        <v/>
      </c>
      <c r="K29" s="134" t="str">
        <f t="shared" si="13"/>
        <v/>
      </c>
      <c r="L29" s="134" t="str">
        <f t="shared" si="13"/>
        <v/>
      </c>
      <c r="M29" s="134" t="str">
        <f t="shared" si="12"/>
        <v/>
      </c>
      <c r="N29" s="134" t="str">
        <f t="shared" ref="N29:N30" si="14">M28</f>
        <v/>
      </c>
      <c r="O29" s="134"/>
      <c r="P29" s="134"/>
      <c r="Q29" s="134"/>
      <c r="R29" s="134"/>
      <c r="S29" s="136"/>
      <c r="T29" s="136"/>
      <c r="U29" s="221"/>
    </row>
    <row r="30" spans="2:21" x14ac:dyDescent="0.2">
      <c r="B30" s="142" t="s">
        <v>2</v>
      </c>
      <c r="C30" s="134"/>
      <c r="D30" s="134"/>
      <c r="E30" s="134"/>
      <c r="F30" s="134"/>
      <c r="G30" s="134" t="str">
        <f t="shared" ref="G30:M30" si="15">F29</f>
        <v/>
      </c>
      <c r="H30" s="134" t="str">
        <f t="shared" si="15"/>
        <v/>
      </c>
      <c r="I30" s="134" t="str">
        <f t="shared" si="15"/>
        <v/>
      </c>
      <c r="J30" s="134" t="str">
        <f t="shared" si="15"/>
        <v/>
      </c>
      <c r="K30" s="134" t="str">
        <f t="shared" si="15"/>
        <v/>
      </c>
      <c r="L30" s="134" t="str">
        <f t="shared" si="15"/>
        <v/>
      </c>
      <c r="M30" s="134" t="str">
        <f t="shared" si="15"/>
        <v/>
      </c>
      <c r="N30" s="134" t="str">
        <f t="shared" si="14"/>
        <v/>
      </c>
      <c r="O30" s="134" t="str">
        <f t="shared" ref="O30:O31" si="16">N29</f>
        <v/>
      </c>
      <c r="P30" s="134"/>
      <c r="Q30" s="134"/>
      <c r="R30" s="134"/>
      <c r="S30" s="136"/>
      <c r="T30" s="136"/>
      <c r="U30" s="221"/>
    </row>
    <row r="31" spans="2:21" x14ac:dyDescent="0.2">
      <c r="B31" s="142" t="s">
        <v>30</v>
      </c>
      <c r="C31" s="134"/>
      <c r="D31" s="134"/>
      <c r="E31" s="134"/>
      <c r="F31" s="134"/>
      <c r="G31" s="134"/>
      <c r="H31" s="134" t="str">
        <f t="shared" ref="H31:N31" si="17">G30</f>
        <v/>
      </c>
      <c r="I31" s="134" t="str">
        <f t="shared" si="17"/>
        <v/>
      </c>
      <c r="J31" s="134" t="str">
        <f t="shared" si="17"/>
        <v/>
      </c>
      <c r="K31" s="134" t="str">
        <f t="shared" si="17"/>
        <v/>
      </c>
      <c r="L31" s="134" t="str">
        <f t="shared" si="17"/>
        <v/>
      </c>
      <c r="M31" s="134" t="str">
        <f t="shared" si="17"/>
        <v/>
      </c>
      <c r="N31" s="134" t="str">
        <f t="shared" si="17"/>
        <v/>
      </c>
      <c r="O31" s="134" t="str">
        <f t="shared" si="16"/>
        <v/>
      </c>
      <c r="P31" s="134" t="str">
        <f t="shared" ref="P31:P32" si="18">O30</f>
        <v/>
      </c>
      <c r="Q31" s="134"/>
      <c r="R31" s="134"/>
      <c r="S31" s="136"/>
      <c r="T31" s="136"/>
      <c r="U31" s="221"/>
    </row>
    <row r="32" spans="2:21" x14ac:dyDescent="0.2">
      <c r="B32" s="142" t="s">
        <v>3</v>
      </c>
      <c r="C32" s="134"/>
      <c r="D32" s="134"/>
      <c r="E32" s="134"/>
      <c r="F32" s="134"/>
      <c r="G32" s="134"/>
      <c r="H32" s="134"/>
      <c r="I32" s="134" t="str">
        <f t="shared" ref="I32:O32" si="19">H31</f>
        <v/>
      </c>
      <c r="J32" s="134" t="str">
        <f t="shared" si="19"/>
        <v/>
      </c>
      <c r="K32" s="134" t="str">
        <f t="shared" si="19"/>
        <v/>
      </c>
      <c r="L32" s="134" t="str">
        <f t="shared" si="19"/>
        <v/>
      </c>
      <c r="M32" s="134" t="str">
        <f t="shared" si="19"/>
        <v/>
      </c>
      <c r="N32" s="134" t="str">
        <f t="shared" si="19"/>
        <v/>
      </c>
      <c r="O32" s="134" t="str">
        <f t="shared" si="19"/>
        <v/>
      </c>
      <c r="P32" s="134" t="str">
        <f t="shared" si="18"/>
        <v/>
      </c>
      <c r="Q32" s="134" t="str">
        <f t="shared" ref="Q32:Q33" si="20">P31</f>
        <v/>
      </c>
      <c r="R32" s="134"/>
      <c r="S32" s="136"/>
      <c r="T32" s="136"/>
      <c r="U32" s="221"/>
    </row>
    <row r="33" spans="2:21" x14ac:dyDescent="0.2">
      <c r="B33" s="142" t="s">
        <v>31</v>
      </c>
      <c r="C33" s="134"/>
      <c r="D33" s="134"/>
      <c r="E33" s="134"/>
      <c r="F33" s="134"/>
      <c r="G33" s="134"/>
      <c r="H33" s="134"/>
      <c r="I33" s="134"/>
      <c r="J33" s="134" t="str">
        <f t="shared" ref="J33:P33" si="21">I32</f>
        <v/>
      </c>
      <c r="K33" s="134" t="str">
        <f t="shared" si="21"/>
        <v/>
      </c>
      <c r="L33" s="134" t="str">
        <f t="shared" si="21"/>
        <v/>
      </c>
      <c r="M33" s="134" t="str">
        <f t="shared" si="21"/>
        <v/>
      </c>
      <c r="N33" s="134" t="str">
        <f t="shared" si="21"/>
        <v/>
      </c>
      <c r="O33" s="134" t="str">
        <f t="shared" si="21"/>
        <v/>
      </c>
      <c r="P33" s="134" t="str">
        <f t="shared" si="21"/>
        <v/>
      </c>
      <c r="Q33" s="134" t="str">
        <f t="shared" si="20"/>
        <v/>
      </c>
      <c r="R33" s="134" t="str">
        <f t="shared" ref="R33:R34" si="22">Q32</f>
        <v/>
      </c>
      <c r="S33" s="136"/>
      <c r="T33" s="136"/>
      <c r="U33" s="221"/>
    </row>
    <row r="34" spans="2:21" x14ac:dyDescent="0.2">
      <c r="B34" s="142" t="s">
        <v>4</v>
      </c>
      <c r="C34" s="134"/>
      <c r="D34" s="134"/>
      <c r="E34" s="134"/>
      <c r="F34" s="134"/>
      <c r="G34" s="134"/>
      <c r="H34" s="134"/>
      <c r="I34" s="134"/>
      <c r="J34" s="134"/>
      <c r="K34" s="134" t="str">
        <f t="shared" ref="K34:Q34" si="23">J33</f>
        <v/>
      </c>
      <c r="L34" s="134" t="str">
        <f t="shared" si="23"/>
        <v/>
      </c>
      <c r="M34" s="134" t="str">
        <f t="shared" si="23"/>
        <v/>
      </c>
      <c r="N34" s="134" t="str">
        <f t="shared" si="23"/>
        <v/>
      </c>
      <c r="O34" s="134" t="str">
        <f t="shared" si="23"/>
        <v/>
      </c>
      <c r="P34" s="134" t="str">
        <f t="shared" si="23"/>
        <v/>
      </c>
      <c r="Q34" s="134" t="str">
        <f t="shared" si="23"/>
        <v/>
      </c>
      <c r="R34" s="134" t="str">
        <f t="shared" si="22"/>
        <v/>
      </c>
      <c r="S34" s="134" t="str">
        <f t="shared" ref="S34:S35" si="24">R33</f>
        <v/>
      </c>
      <c r="T34" s="136"/>
      <c r="U34" s="221"/>
    </row>
    <row r="35" spans="2:21" x14ac:dyDescent="0.2">
      <c r="B35" s="142" t="s">
        <v>32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 t="str">
        <f t="shared" ref="L35:R35" si="25">K34</f>
        <v/>
      </c>
      <c r="M35" s="134" t="str">
        <f t="shared" si="25"/>
        <v/>
      </c>
      <c r="N35" s="134" t="str">
        <f t="shared" si="25"/>
        <v/>
      </c>
      <c r="O35" s="134" t="str">
        <f t="shared" si="25"/>
        <v/>
      </c>
      <c r="P35" s="134" t="str">
        <f t="shared" si="25"/>
        <v/>
      </c>
      <c r="Q35" s="134" t="str">
        <f t="shared" si="25"/>
        <v/>
      </c>
      <c r="R35" s="134" t="str">
        <f t="shared" si="25"/>
        <v/>
      </c>
      <c r="S35" s="134" t="str">
        <f t="shared" si="24"/>
        <v/>
      </c>
      <c r="T35" s="134" t="str">
        <f t="shared" ref="T35" si="26">S34</f>
        <v/>
      </c>
      <c r="U35" s="221"/>
    </row>
    <row r="36" spans="2:21" x14ac:dyDescent="0.2">
      <c r="B36" s="142" t="s">
        <v>5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 t="str">
        <f t="shared" ref="M36:T36" si="27">L35</f>
        <v/>
      </c>
      <c r="N36" s="134" t="str">
        <f t="shared" si="27"/>
        <v/>
      </c>
      <c r="O36" s="134" t="str">
        <f t="shared" si="27"/>
        <v/>
      </c>
      <c r="P36" s="134" t="str">
        <f t="shared" si="27"/>
        <v/>
      </c>
      <c r="Q36" s="134" t="str">
        <f t="shared" si="27"/>
        <v/>
      </c>
      <c r="R36" s="134" t="str">
        <f t="shared" si="27"/>
        <v/>
      </c>
      <c r="S36" s="134" t="str">
        <f t="shared" si="27"/>
        <v/>
      </c>
      <c r="T36" s="134" t="str">
        <f t="shared" si="27"/>
        <v/>
      </c>
      <c r="U36" s="221"/>
    </row>
    <row r="37" spans="2:21" x14ac:dyDescent="0.2">
      <c r="B37" s="142" t="s">
        <v>56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 t="str">
        <f t="shared" ref="N37:U37" si="28">M36</f>
        <v/>
      </c>
      <c r="O37" s="134" t="str">
        <f t="shared" si="28"/>
        <v/>
      </c>
      <c r="P37" s="134" t="str">
        <f t="shared" si="28"/>
        <v/>
      </c>
      <c r="Q37" s="134" t="str">
        <f t="shared" si="28"/>
        <v/>
      </c>
      <c r="R37" s="134" t="str">
        <f t="shared" si="28"/>
        <v/>
      </c>
      <c r="S37" s="134" t="str">
        <f t="shared" si="28"/>
        <v/>
      </c>
      <c r="T37" s="134" t="str">
        <f t="shared" si="28"/>
        <v/>
      </c>
      <c r="U37" s="134" t="str">
        <f t="shared" si="28"/>
        <v/>
      </c>
    </row>
    <row r="38" spans="2:21" x14ac:dyDescent="0.2">
      <c r="B38" s="142" t="s">
        <v>8</v>
      </c>
      <c r="C38" s="145">
        <f>IF(SUM(C26:C37)="","",SUM(C26:C37))</f>
        <v>0</v>
      </c>
      <c r="D38" s="145">
        <f>IF(SUM(D26:D37)="","",SUM(D26:D37))</f>
        <v>0</v>
      </c>
      <c r="E38" s="145">
        <f>IF(SUM(E26:E37)="","",SUM(E26:E37))</f>
        <v>0</v>
      </c>
      <c r="F38" s="145">
        <f t="shared" ref="F38:U38" si="29">IF(SUM(F26:F37)="","",SUM(F26:F37))</f>
        <v>0</v>
      </c>
      <c r="G38" s="145">
        <f t="shared" si="29"/>
        <v>0</v>
      </c>
      <c r="H38" s="145">
        <f t="shared" si="29"/>
        <v>0</v>
      </c>
      <c r="I38" s="145">
        <f t="shared" si="29"/>
        <v>0</v>
      </c>
      <c r="J38" s="145">
        <f t="shared" si="29"/>
        <v>0</v>
      </c>
      <c r="K38" s="145">
        <f t="shared" si="29"/>
        <v>0</v>
      </c>
      <c r="L38" s="145">
        <f t="shared" si="29"/>
        <v>0</v>
      </c>
      <c r="M38" s="145">
        <f t="shared" si="29"/>
        <v>0</v>
      </c>
      <c r="N38" s="145">
        <f t="shared" si="29"/>
        <v>0</v>
      </c>
      <c r="O38" s="145">
        <f t="shared" si="29"/>
        <v>0</v>
      </c>
      <c r="P38" s="145">
        <f t="shared" si="29"/>
        <v>0</v>
      </c>
      <c r="Q38" s="145">
        <f t="shared" si="29"/>
        <v>0</v>
      </c>
      <c r="R38" s="145">
        <f t="shared" si="29"/>
        <v>0</v>
      </c>
      <c r="S38" s="145">
        <f t="shared" si="29"/>
        <v>0</v>
      </c>
      <c r="T38" s="145">
        <f t="shared" si="29"/>
        <v>0</v>
      </c>
      <c r="U38" s="145">
        <f t="shared" si="29"/>
        <v>0</v>
      </c>
    </row>
    <row r="39" spans="2:21" x14ac:dyDescent="0.2">
      <c r="B39" s="142" t="s">
        <v>10</v>
      </c>
      <c r="C39" s="146">
        <f>IF(C38&lt;&gt;"",C38,"")</f>
        <v>0</v>
      </c>
      <c r="D39" s="146">
        <f>IF(D38&lt;&gt;"",(D38+C38)/D25,"")</f>
        <v>0</v>
      </c>
      <c r="E39" s="146">
        <f>IF(E38&lt;&gt;"",(E38+D38+C38)/E25,"")</f>
        <v>0</v>
      </c>
      <c r="F39" s="146">
        <f>IF(F38&lt;&gt;"",(F38+E38+D38+C38)/F25,"")</f>
        <v>0</v>
      </c>
      <c r="G39" s="146">
        <f>IF(G38&lt;&gt;"",SUM(C38:G38)/G25,"")</f>
        <v>0</v>
      </c>
      <c r="H39" s="146">
        <f>IF(H38&lt;&gt;"",SUM(C38:H38)/H25,"")</f>
        <v>0</v>
      </c>
      <c r="I39" s="146">
        <f>IF(I38&lt;&gt;"",SUM(C38:I38)/I25,"")</f>
        <v>0</v>
      </c>
      <c r="J39" s="146">
        <f>IF(J38&lt;&gt;"",SUM(C38:J38)/J25,"")</f>
        <v>0</v>
      </c>
      <c r="K39" s="146">
        <f>IF(K38&lt;&gt;"",SUM(C38:K38)/K25,"")</f>
        <v>0</v>
      </c>
      <c r="L39" s="146">
        <f>IF(L38&lt;&gt;"",SUM(C38:L38)/L25,"")</f>
        <v>0</v>
      </c>
      <c r="M39" s="146">
        <f>IF(M38&lt;&gt;"",SUM(C38:M38)/M25,"")</f>
        <v>0</v>
      </c>
      <c r="N39" s="146">
        <f>IF(N38&lt;&gt;"",SUM(C38:N38)/N25,"")</f>
        <v>0</v>
      </c>
      <c r="O39" s="146">
        <f>IF(O38&lt;&gt;"",SUM(C38:O38)/O25,"")</f>
        <v>0</v>
      </c>
      <c r="P39" s="146">
        <f>IF(P38&lt;&gt;"",SUM(C38:P38)/P25,"")</f>
        <v>0</v>
      </c>
      <c r="Q39" s="146">
        <f>IF(Q38&lt;&gt;"",SUM(C38:Q38)/Q25,"")</f>
        <v>0</v>
      </c>
      <c r="R39" s="146">
        <f>IF(R38&lt;&gt;"",SUM(C38:R38)/R25,"")</f>
        <v>0</v>
      </c>
      <c r="S39" s="146">
        <f>IF(S38&lt;&gt;"",SUM(C38:S38)/S25,"")</f>
        <v>0</v>
      </c>
      <c r="T39" s="146">
        <f>IF(T38&lt;&gt;"",SUM(C38:T38)/T25,"")</f>
        <v>0</v>
      </c>
      <c r="U39" s="146">
        <f>IF(U38&lt;&gt;"",SUM(D38:U38)/U25,"")</f>
        <v>0</v>
      </c>
    </row>
    <row r="40" spans="2:21" x14ac:dyDescent="0.2">
      <c r="B40" s="141" t="s">
        <v>12</v>
      </c>
      <c r="C40" s="148" t="str">
        <f>IF(C26&lt;&gt;"",SUM(C39:U39)/U25,"")</f>
        <v/>
      </c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57"/>
      <c r="P40" s="57"/>
      <c r="Q40" s="57"/>
      <c r="R40" s="135"/>
      <c r="S40" s="44"/>
    </row>
  </sheetData>
  <sheetProtection password="C2D2" sheet="1" objects="1" scenarios="1"/>
  <mergeCells count="1">
    <mergeCell ref="I2:N2"/>
  </mergeCells>
  <pageMargins left="0.7" right="0.7" top="0.78740157499999996" bottom="0.78740157499999996" header="0.3" footer="0.3"/>
  <pageSetup paperSize="9" scale="78" orientation="landscape" r:id="rId1"/>
  <headerFooter>
    <oddHeader>&amp;R&amp;7 1.1_Nebenberechnungen_Studierende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B1:K34"/>
  <sheetViews>
    <sheetView showGridLines="0" zoomScale="115" zoomScaleNormal="115" workbookViewId="0">
      <pane xSplit="46605" topLeftCell="M1"/>
      <selection activeCell="C33" sqref="C33"/>
      <selection pane="topRight" activeCell="M70" sqref="M70"/>
    </sheetView>
  </sheetViews>
  <sheetFormatPr baseColWidth="10" defaultColWidth="22.42578125" defaultRowHeight="15.75" x14ac:dyDescent="0.25"/>
  <cols>
    <col min="1" max="1" width="18.42578125" style="6" customWidth="1"/>
    <col min="2" max="2" width="34.7109375" style="6" customWidth="1"/>
    <col min="3" max="3" width="14.7109375" style="6" customWidth="1"/>
    <col min="4" max="4" width="16.28515625" style="6" customWidth="1"/>
    <col min="5" max="5" width="13.85546875" style="6" customWidth="1"/>
    <col min="6" max="6" width="18.42578125" style="6" customWidth="1"/>
    <col min="7" max="7" width="16.28515625" style="6" customWidth="1"/>
    <col min="8" max="8" width="15.7109375" style="6" customWidth="1"/>
    <col min="9" max="9" width="10.28515625" style="6" customWidth="1"/>
    <col min="10" max="10" width="6.85546875" style="6" customWidth="1"/>
    <col min="11" max="11" width="5.42578125" style="6" customWidth="1"/>
    <col min="12" max="12" width="35" style="6" customWidth="1"/>
    <col min="13" max="13" width="31.7109375" style="6" customWidth="1"/>
    <col min="14" max="16384" width="22.42578125" style="6"/>
  </cols>
  <sheetData>
    <row r="1" spans="2:11" ht="16.5" thickBot="1" x14ac:dyDescent="0.3"/>
    <row r="2" spans="2:11" ht="16.5" thickBot="1" x14ac:dyDescent="0.3">
      <c r="D2" s="481" t="str">
        <f>Studiengangsbezeichnung</f>
        <v>Musterstudiengang</v>
      </c>
      <c r="E2" s="482"/>
      <c r="F2" s="483"/>
      <c r="G2" s="11" t="s">
        <v>33</v>
      </c>
      <c r="H2" s="25">
        <f>Stand_Datum</f>
        <v>43564</v>
      </c>
      <c r="I2" s="294" t="s">
        <v>106</v>
      </c>
      <c r="J2" s="295"/>
    </row>
    <row r="3" spans="2:11" x14ac:dyDescent="0.25">
      <c r="G3" s="39"/>
      <c r="I3" s="409" t="s">
        <v>105</v>
      </c>
    </row>
    <row r="5" spans="2:11" x14ac:dyDescent="0.25">
      <c r="G5" s="11"/>
      <c r="H5" s="39"/>
    </row>
    <row r="6" spans="2:11" x14ac:dyDescent="0.25">
      <c r="B6" s="34"/>
      <c r="C6" s="34"/>
      <c r="D6" s="34"/>
      <c r="E6" s="34"/>
      <c r="F6" s="34"/>
      <c r="G6" s="40"/>
      <c r="H6" s="39"/>
    </row>
    <row r="7" spans="2:11" ht="16.5" thickBot="1" x14ac:dyDescent="0.3">
      <c r="B7" s="33" t="s">
        <v>156</v>
      </c>
      <c r="C7" s="41"/>
      <c r="D7" s="27"/>
      <c r="E7" s="27"/>
      <c r="F7" s="27"/>
      <c r="G7" s="27"/>
      <c r="H7" s="7"/>
      <c r="I7" s="7"/>
      <c r="J7" s="7"/>
      <c r="K7" s="19"/>
    </row>
    <row r="8" spans="2:11" x14ac:dyDescent="0.25">
      <c r="B8" s="83"/>
      <c r="C8" s="84" t="s">
        <v>69</v>
      </c>
      <c r="D8" s="84" t="s">
        <v>64</v>
      </c>
      <c r="E8" s="84" t="s">
        <v>65</v>
      </c>
      <c r="F8" s="84" t="s">
        <v>66</v>
      </c>
      <c r="G8" s="84" t="s">
        <v>67</v>
      </c>
      <c r="H8" s="85" t="s">
        <v>77</v>
      </c>
    </row>
    <row r="9" spans="2:11" x14ac:dyDescent="0.25">
      <c r="B9" s="86" t="s">
        <v>57</v>
      </c>
      <c r="C9" s="81" t="s">
        <v>70</v>
      </c>
      <c r="D9" s="82" t="s">
        <v>68</v>
      </c>
      <c r="E9" s="82" t="s">
        <v>68</v>
      </c>
      <c r="F9" s="82" t="s">
        <v>68</v>
      </c>
      <c r="G9" s="82" t="s">
        <v>68</v>
      </c>
      <c r="H9" s="87" t="s">
        <v>78</v>
      </c>
      <c r="K9" s="7"/>
    </row>
    <row r="10" spans="2:11" x14ac:dyDescent="0.25">
      <c r="B10" s="88" t="s">
        <v>82</v>
      </c>
      <c r="C10" s="82">
        <f t="shared" ref="C10:C29" si="0">SUM(D10:G10)</f>
        <v>4</v>
      </c>
      <c r="D10" s="65">
        <v>2</v>
      </c>
      <c r="E10" s="65">
        <v>2</v>
      </c>
      <c r="F10" s="65"/>
      <c r="G10" s="65"/>
      <c r="H10" s="66">
        <f t="shared" ref="H10:H29" si="1">SUM(IF(D10&lt;&gt;"",D10,"0"),IF(E10&lt;&gt;"",E10*0.5,"0"))</f>
        <v>3</v>
      </c>
      <c r="K10" s="7"/>
    </row>
    <row r="11" spans="2:11" x14ac:dyDescent="0.25">
      <c r="B11" s="88" t="s">
        <v>83</v>
      </c>
      <c r="C11" s="82">
        <f t="shared" si="0"/>
        <v>4</v>
      </c>
      <c r="D11" s="65">
        <v>2</v>
      </c>
      <c r="E11" s="65">
        <v>2</v>
      </c>
      <c r="F11" s="65"/>
      <c r="G11" s="65"/>
      <c r="H11" s="66">
        <f t="shared" si="1"/>
        <v>3</v>
      </c>
      <c r="K11" s="7"/>
    </row>
    <row r="12" spans="2:11" x14ac:dyDescent="0.25">
      <c r="B12" s="89" t="s">
        <v>84</v>
      </c>
      <c r="C12" s="82">
        <f t="shared" si="0"/>
        <v>4</v>
      </c>
      <c r="D12" s="65">
        <v>3</v>
      </c>
      <c r="E12" s="65">
        <v>1</v>
      </c>
      <c r="F12" s="65"/>
      <c r="G12" s="65"/>
      <c r="H12" s="66">
        <f t="shared" si="1"/>
        <v>3.5</v>
      </c>
      <c r="K12" s="7"/>
    </row>
    <row r="13" spans="2:11" x14ac:dyDescent="0.25">
      <c r="B13" s="89" t="s">
        <v>85</v>
      </c>
      <c r="C13" s="82">
        <f t="shared" si="0"/>
        <v>4</v>
      </c>
      <c r="D13" s="65">
        <v>1</v>
      </c>
      <c r="E13" s="65">
        <v>2</v>
      </c>
      <c r="F13" s="65">
        <v>1</v>
      </c>
      <c r="G13" s="65"/>
      <c r="H13" s="66">
        <f t="shared" si="1"/>
        <v>2</v>
      </c>
      <c r="K13" s="7"/>
    </row>
    <row r="14" spans="2:11" x14ac:dyDescent="0.25">
      <c r="B14" s="89" t="s">
        <v>86</v>
      </c>
      <c r="C14" s="82">
        <f t="shared" si="0"/>
        <v>4</v>
      </c>
      <c r="D14" s="65">
        <v>1</v>
      </c>
      <c r="E14" s="65">
        <v>1</v>
      </c>
      <c r="F14" s="65">
        <v>1</v>
      </c>
      <c r="G14" s="65">
        <v>1</v>
      </c>
      <c r="H14" s="66">
        <f t="shared" si="1"/>
        <v>1.5</v>
      </c>
      <c r="K14" s="7"/>
    </row>
    <row r="15" spans="2:11" x14ac:dyDescent="0.25">
      <c r="B15" s="90" t="s">
        <v>87</v>
      </c>
      <c r="C15" s="82">
        <f t="shared" si="0"/>
        <v>4</v>
      </c>
      <c r="D15" s="65">
        <v>2</v>
      </c>
      <c r="E15" s="65">
        <v>2</v>
      </c>
      <c r="F15" s="65"/>
      <c r="G15" s="65"/>
      <c r="H15" s="66">
        <f t="shared" si="1"/>
        <v>3</v>
      </c>
    </row>
    <row r="16" spans="2:11" x14ac:dyDescent="0.25">
      <c r="B16" s="88">
        <v>7</v>
      </c>
      <c r="C16" s="82">
        <f t="shared" si="0"/>
        <v>4</v>
      </c>
      <c r="D16" s="65">
        <v>2</v>
      </c>
      <c r="E16" s="65">
        <v>2</v>
      </c>
      <c r="F16" s="65"/>
      <c r="G16" s="65"/>
      <c r="H16" s="66">
        <f t="shared" si="1"/>
        <v>3</v>
      </c>
      <c r="K16" s="7"/>
    </row>
    <row r="17" spans="2:11" x14ac:dyDescent="0.25">
      <c r="B17" s="88">
        <v>8</v>
      </c>
      <c r="C17" s="82">
        <f t="shared" si="0"/>
        <v>4</v>
      </c>
      <c r="D17" s="65">
        <v>3</v>
      </c>
      <c r="E17" s="65">
        <v>1</v>
      </c>
      <c r="F17" s="65"/>
      <c r="G17" s="65"/>
      <c r="H17" s="66">
        <f t="shared" si="1"/>
        <v>3.5</v>
      </c>
      <c r="K17" s="7"/>
    </row>
    <row r="18" spans="2:11" x14ac:dyDescent="0.25">
      <c r="B18" s="88">
        <v>9</v>
      </c>
      <c r="C18" s="82">
        <f t="shared" si="0"/>
        <v>4</v>
      </c>
      <c r="D18" s="65">
        <v>1</v>
      </c>
      <c r="E18" s="65">
        <v>2</v>
      </c>
      <c r="F18" s="65">
        <v>1</v>
      </c>
      <c r="G18" s="65"/>
      <c r="H18" s="66">
        <f t="shared" si="1"/>
        <v>2</v>
      </c>
      <c r="K18" s="7"/>
    </row>
    <row r="19" spans="2:11" x14ac:dyDescent="0.25">
      <c r="B19" s="88">
        <v>10</v>
      </c>
      <c r="C19" s="82">
        <f t="shared" si="0"/>
        <v>4</v>
      </c>
      <c r="D19" s="65">
        <v>1</v>
      </c>
      <c r="E19" s="65">
        <v>1</v>
      </c>
      <c r="F19" s="65">
        <v>1</v>
      </c>
      <c r="G19" s="65">
        <v>1</v>
      </c>
      <c r="H19" s="66">
        <f t="shared" si="1"/>
        <v>1.5</v>
      </c>
      <c r="K19" s="7"/>
    </row>
    <row r="20" spans="2:11" x14ac:dyDescent="0.25">
      <c r="B20" s="88">
        <v>11</v>
      </c>
      <c r="C20" s="82">
        <f t="shared" si="0"/>
        <v>4</v>
      </c>
      <c r="D20" s="65">
        <v>2</v>
      </c>
      <c r="E20" s="65">
        <v>2</v>
      </c>
      <c r="F20" s="65"/>
      <c r="G20" s="65"/>
      <c r="H20" s="66">
        <f t="shared" si="1"/>
        <v>3</v>
      </c>
      <c r="K20" s="7"/>
    </row>
    <row r="21" spans="2:11" x14ac:dyDescent="0.25">
      <c r="B21" s="91">
        <v>12</v>
      </c>
      <c r="C21" s="82">
        <f t="shared" si="0"/>
        <v>4</v>
      </c>
      <c r="D21" s="65">
        <v>2</v>
      </c>
      <c r="E21" s="65">
        <v>2</v>
      </c>
      <c r="F21" s="65"/>
      <c r="G21" s="65"/>
      <c r="H21" s="66">
        <f t="shared" si="1"/>
        <v>3</v>
      </c>
      <c r="K21" s="7"/>
    </row>
    <row r="22" spans="2:11" x14ac:dyDescent="0.25">
      <c r="B22" s="91">
        <v>13</v>
      </c>
      <c r="C22" s="82">
        <f t="shared" si="0"/>
        <v>4</v>
      </c>
      <c r="D22" s="65">
        <v>3</v>
      </c>
      <c r="E22" s="65">
        <v>1</v>
      </c>
      <c r="F22" s="65"/>
      <c r="G22" s="65"/>
      <c r="H22" s="66">
        <f t="shared" si="1"/>
        <v>3.5</v>
      </c>
      <c r="K22" s="7"/>
    </row>
    <row r="23" spans="2:11" x14ac:dyDescent="0.25">
      <c r="B23" s="88">
        <v>14</v>
      </c>
      <c r="C23" s="82">
        <f t="shared" si="0"/>
        <v>4</v>
      </c>
      <c r="D23" s="65">
        <v>1</v>
      </c>
      <c r="E23" s="65">
        <v>2</v>
      </c>
      <c r="F23" s="65">
        <v>1</v>
      </c>
      <c r="G23" s="65"/>
      <c r="H23" s="66">
        <f t="shared" si="1"/>
        <v>2</v>
      </c>
      <c r="K23" s="7"/>
    </row>
    <row r="24" spans="2:11" x14ac:dyDescent="0.25">
      <c r="B24" s="88">
        <v>15</v>
      </c>
      <c r="C24" s="82">
        <f t="shared" si="0"/>
        <v>4</v>
      </c>
      <c r="D24" s="65">
        <v>1</v>
      </c>
      <c r="E24" s="65">
        <v>1</v>
      </c>
      <c r="F24" s="65">
        <v>1</v>
      </c>
      <c r="G24" s="65">
        <v>1</v>
      </c>
      <c r="H24" s="66">
        <f t="shared" si="1"/>
        <v>1.5</v>
      </c>
      <c r="K24" s="14"/>
    </row>
    <row r="25" spans="2:11" x14ac:dyDescent="0.25">
      <c r="B25" s="88">
        <v>16</v>
      </c>
      <c r="C25" s="82">
        <f t="shared" si="0"/>
        <v>4</v>
      </c>
      <c r="D25" s="65">
        <v>2</v>
      </c>
      <c r="E25" s="65">
        <v>2</v>
      </c>
      <c r="F25" s="65"/>
      <c r="G25" s="65"/>
      <c r="H25" s="66">
        <f t="shared" si="1"/>
        <v>3</v>
      </c>
      <c r="K25" s="7"/>
    </row>
    <row r="26" spans="2:11" x14ac:dyDescent="0.25">
      <c r="B26" s="88">
        <v>17</v>
      </c>
      <c r="C26" s="82">
        <f t="shared" si="0"/>
        <v>3</v>
      </c>
      <c r="D26" s="65">
        <v>2</v>
      </c>
      <c r="E26" s="65">
        <v>1</v>
      </c>
      <c r="F26" s="37"/>
      <c r="G26" s="37"/>
      <c r="H26" s="66">
        <f t="shared" si="1"/>
        <v>2.5</v>
      </c>
      <c r="K26" s="7"/>
    </row>
    <row r="27" spans="2:11" x14ac:dyDescent="0.25">
      <c r="B27" s="88">
        <v>18</v>
      </c>
      <c r="C27" s="82">
        <f t="shared" si="0"/>
        <v>3</v>
      </c>
      <c r="D27" s="65">
        <v>2</v>
      </c>
      <c r="E27" s="65">
        <v>1</v>
      </c>
      <c r="F27" s="37"/>
      <c r="G27" s="37"/>
      <c r="H27" s="66">
        <f t="shared" si="1"/>
        <v>2.5</v>
      </c>
      <c r="K27" s="7"/>
    </row>
    <row r="28" spans="2:11" x14ac:dyDescent="0.25">
      <c r="B28" s="88">
        <v>19</v>
      </c>
      <c r="C28" s="82">
        <f t="shared" si="0"/>
        <v>3</v>
      </c>
      <c r="D28" s="65">
        <v>2</v>
      </c>
      <c r="E28" s="65">
        <v>1</v>
      </c>
      <c r="F28" s="37"/>
      <c r="G28" s="37"/>
      <c r="H28" s="66">
        <f t="shared" si="1"/>
        <v>2.5</v>
      </c>
      <c r="K28" s="7"/>
    </row>
    <row r="29" spans="2:11" x14ac:dyDescent="0.25">
      <c r="B29" s="88">
        <v>20</v>
      </c>
      <c r="C29" s="82">
        <f t="shared" si="0"/>
        <v>3</v>
      </c>
      <c r="D29" s="65">
        <v>2</v>
      </c>
      <c r="E29" s="65">
        <v>1</v>
      </c>
      <c r="F29" s="37"/>
      <c r="G29" s="37"/>
      <c r="H29" s="66">
        <f t="shared" si="1"/>
        <v>2.5</v>
      </c>
      <c r="K29" s="7"/>
    </row>
    <row r="30" spans="2:11" s="12" customFormat="1" ht="16.5" thickBot="1" x14ac:dyDescent="0.3">
      <c r="B30" s="402" t="s">
        <v>9</v>
      </c>
      <c r="C30" s="407">
        <f>SUM(C10:C29)</f>
        <v>76</v>
      </c>
      <c r="D30" s="407">
        <f>SUM(D10:D29)</f>
        <v>37</v>
      </c>
      <c r="E30" s="407">
        <f>SUM(E10:E29)</f>
        <v>30</v>
      </c>
      <c r="F30" s="407">
        <f>SUM(F10:F29)</f>
        <v>6</v>
      </c>
      <c r="G30" s="407">
        <f>SUM(G10:G29)</f>
        <v>3</v>
      </c>
      <c r="H30" s="408">
        <f>SUM(H10:H25)</f>
        <v>42</v>
      </c>
      <c r="K30" s="9"/>
    </row>
    <row r="31" spans="2:11" s="12" customFormat="1" x14ac:dyDescent="0.25">
      <c r="B31" s="44"/>
      <c r="C31" s="44"/>
      <c r="D31" s="26"/>
      <c r="E31" s="26"/>
      <c r="F31" s="26"/>
      <c r="G31" s="26"/>
      <c r="H31" s="9"/>
      <c r="I31" s="9"/>
      <c r="J31" s="9"/>
    </row>
    <row r="32" spans="2:11" s="12" customFormat="1" x14ac:dyDescent="0.25">
      <c r="C32" s="41"/>
      <c r="D32" s="26"/>
      <c r="E32" s="26"/>
      <c r="F32" s="26"/>
      <c r="G32" s="26"/>
      <c r="H32" s="9"/>
      <c r="I32" s="9"/>
      <c r="J32" s="9"/>
    </row>
    <row r="33" spans="3:10" s="12" customFormat="1" x14ac:dyDescent="0.25">
      <c r="C33" s="46"/>
      <c r="D33" s="26"/>
      <c r="E33" s="26"/>
      <c r="F33" s="26"/>
      <c r="G33" s="26"/>
      <c r="H33" s="9"/>
      <c r="I33" s="9"/>
      <c r="J33" s="9"/>
    </row>
    <row r="34" spans="3:10" s="12" customFormat="1" x14ac:dyDescent="0.25">
      <c r="C34" s="46"/>
      <c r="D34" s="26"/>
      <c r="E34" s="26"/>
      <c r="F34" s="26"/>
      <c r="G34" s="26"/>
      <c r="H34" s="9"/>
      <c r="I34" s="9"/>
      <c r="J34" s="9"/>
    </row>
  </sheetData>
  <sheetProtection password="C2D2" sheet="1" objects="1" scenarios="1"/>
  <customSheetViews>
    <customSheetView guid="{2F462239-8624-472D-83C3-142E64AAE7D6}" scale="85" topLeftCell="A91">
      <pane xSplit="4.8924050632911396" topLeftCell="M1"/>
      <selection activeCell="G22" sqref="G22"/>
      <pageMargins left="0.23622047244094491" right="0.23622047244094491" top="0.74803149606299213" bottom="0.74803149606299213" header="0.31496062992125984" footer="0.31496062992125984"/>
      <pageSetup paperSize="8" scale="60" fitToHeight="0" orientation="landscape" r:id="rId1"/>
      <headerFooter>
        <oddFooter>&amp;C&amp;8&amp;Z&amp;F</oddFooter>
      </headerFooter>
    </customSheetView>
  </customSheetViews>
  <mergeCells count="1">
    <mergeCell ref="D2:F2"/>
  </mergeCells>
  <pageMargins left="0.23622047244094491" right="0.23622047244094491" top="0.74803149606299213" bottom="0.74803149606299213" header="0.31496062992125984" footer="0.31496062992125984"/>
  <pageSetup paperSize="9" scale="90" fitToHeight="0" orientation="landscape" r:id="rId2"/>
  <headerFooter>
    <oddHeader>&amp;R&amp;7 2_Studienverlaufsplan</oddHead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B1:M73"/>
  <sheetViews>
    <sheetView showGridLines="0" zoomScale="115" zoomScaleNormal="115" workbookViewId="0">
      <selection activeCell="D34" sqref="D34"/>
    </sheetView>
  </sheetViews>
  <sheetFormatPr baseColWidth="10" defaultColWidth="11.42578125" defaultRowHeight="15" x14ac:dyDescent="0.25"/>
  <cols>
    <col min="1" max="1" width="9.28515625" style="306" customWidth="1"/>
    <col min="2" max="2" width="29.85546875" style="306" customWidth="1"/>
    <col min="3" max="3" width="19.5703125" style="306" customWidth="1"/>
    <col min="4" max="4" width="16.140625" style="306" customWidth="1"/>
    <col min="5" max="5" width="12.28515625" style="306" customWidth="1"/>
    <col min="6" max="6" width="20.28515625" style="306" customWidth="1"/>
    <col min="7" max="7" width="15.85546875" style="306" customWidth="1"/>
    <col min="8" max="8" width="11.42578125" style="306"/>
    <col min="9" max="9" width="39.85546875" style="306" customWidth="1"/>
    <col min="10" max="10" width="11.42578125" style="306" customWidth="1"/>
    <col min="11" max="11" width="10.42578125" style="306" customWidth="1"/>
    <col min="12" max="12" width="4.85546875" style="306" customWidth="1"/>
    <col min="13" max="13" width="7.140625" style="306" customWidth="1"/>
    <col min="14" max="16384" width="11.42578125" style="306"/>
  </cols>
  <sheetData>
    <row r="1" spans="2:13" ht="15.75" thickBot="1" x14ac:dyDescent="0.3"/>
    <row r="2" spans="2:13" s="6" customFormat="1" ht="16.5" thickBot="1" x14ac:dyDescent="0.3">
      <c r="E2" s="484" t="str">
        <f>Studiengangsbezeichnung</f>
        <v>Musterstudiengang</v>
      </c>
      <c r="F2" s="485"/>
      <c r="G2" s="485"/>
      <c r="H2" s="486"/>
      <c r="I2" s="11" t="s">
        <v>107</v>
      </c>
      <c r="J2" s="25">
        <f>Stand_Datum</f>
        <v>43564</v>
      </c>
      <c r="K2" s="300" t="s">
        <v>105</v>
      </c>
      <c r="M2" s="410"/>
    </row>
    <row r="3" spans="2:13" s="6" customFormat="1" ht="15.75" x14ac:dyDescent="0.25">
      <c r="G3" s="11"/>
      <c r="H3" s="39"/>
      <c r="K3" s="301" t="s">
        <v>106</v>
      </c>
      <c r="M3" s="410"/>
    </row>
    <row r="4" spans="2:13" s="6" customFormat="1" ht="15.75" x14ac:dyDescent="0.25">
      <c r="G4" s="11"/>
      <c r="H4" s="39"/>
    </row>
    <row r="5" spans="2:13" s="6" customFormat="1" ht="15.75" x14ac:dyDescent="0.25">
      <c r="G5" s="11"/>
      <c r="H5" s="39"/>
    </row>
    <row r="6" spans="2:13" s="6" customFormat="1" ht="15.75" x14ac:dyDescent="0.25">
      <c r="C6" s="48"/>
      <c r="D6" s="27"/>
      <c r="E6" s="27"/>
      <c r="F6" s="27"/>
      <c r="G6" s="27"/>
      <c r="H6" s="7"/>
    </row>
    <row r="7" spans="2:13" s="6" customFormat="1" ht="20.25" customHeight="1" x14ac:dyDescent="0.25">
      <c r="B7" s="47"/>
      <c r="C7" s="48"/>
      <c r="D7" s="27"/>
      <c r="E7" s="27"/>
      <c r="F7" s="27"/>
      <c r="G7" s="27"/>
      <c r="H7" s="7"/>
    </row>
    <row r="8" spans="2:13" s="6" customFormat="1" ht="16.5" thickBot="1" x14ac:dyDescent="0.3">
      <c r="B8" s="47" t="s">
        <v>157</v>
      </c>
      <c r="C8" s="48"/>
      <c r="D8" s="27"/>
      <c r="E8" s="27"/>
      <c r="F8" s="27"/>
      <c r="G8" s="27"/>
      <c r="H8" s="7"/>
    </row>
    <row r="9" spans="2:13" s="6" customFormat="1" ht="14.25" customHeight="1" x14ac:dyDescent="0.25">
      <c r="B9" s="49"/>
      <c r="C9" s="50" t="s">
        <v>23</v>
      </c>
      <c r="D9" s="96" t="s">
        <v>73</v>
      </c>
      <c r="E9" s="97" t="s">
        <v>25</v>
      </c>
      <c r="F9" s="51"/>
      <c r="G9" s="52"/>
      <c r="H9" s="15"/>
      <c r="I9" s="258" t="s">
        <v>137</v>
      </c>
      <c r="J9" s="363"/>
      <c r="K9" s="7"/>
    </row>
    <row r="10" spans="2:13" s="6" customFormat="1" ht="14.25" customHeight="1" thickBot="1" x14ac:dyDescent="0.3">
      <c r="B10" s="42" t="s">
        <v>55</v>
      </c>
      <c r="C10" s="93" t="s">
        <v>24</v>
      </c>
      <c r="D10" s="43" t="s">
        <v>74</v>
      </c>
      <c r="E10" s="98" t="s">
        <v>26</v>
      </c>
      <c r="F10" s="43" t="s">
        <v>27</v>
      </c>
      <c r="G10" s="99" t="s">
        <v>51</v>
      </c>
      <c r="H10" s="16"/>
      <c r="I10" s="245" t="str">
        <f>'1_Allg_Angaben'!B12</f>
        <v>Regelstudienzeit (in Semester):</v>
      </c>
      <c r="J10" s="246">
        <f>Dauer_Studium</f>
        <v>5</v>
      </c>
      <c r="K10" s="7"/>
    </row>
    <row r="11" spans="2:13" s="6" customFormat="1" ht="14.25" customHeight="1" x14ac:dyDescent="0.25">
      <c r="B11" s="53" t="str">
        <f>'2_Studienverlaufsplan'!B10</f>
        <v>1 Mathematik</v>
      </c>
      <c r="C11" s="67" t="s">
        <v>35</v>
      </c>
      <c r="D11" s="68"/>
      <c r="E11" s="69" t="s">
        <v>34</v>
      </c>
      <c r="F11" s="69"/>
      <c r="G11" s="121"/>
      <c r="H11" s="17"/>
      <c r="I11" s="297" t="s">
        <v>52</v>
      </c>
      <c r="J11" s="366">
        <v>2</v>
      </c>
      <c r="K11" s="7"/>
    </row>
    <row r="12" spans="2:13" s="6" customFormat="1" ht="14.25" customHeight="1" x14ac:dyDescent="0.25">
      <c r="B12" s="54" t="str">
        <f>'2_Studienverlaufsplan'!B11</f>
        <v>2 Mechanik</v>
      </c>
      <c r="C12" s="70" t="s">
        <v>35</v>
      </c>
      <c r="D12" s="37"/>
      <c r="E12" s="71" t="s">
        <v>34</v>
      </c>
      <c r="F12" s="71"/>
      <c r="G12" s="122"/>
      <c r="H12" s="17"/>
      <c r="I12" s="297" t="s">
        <v>192</v>
      </c>
      <c r="J12" s="109">
        <f>'1_Allg_Angaben'!I13</f>
        <v>83</v>
      </c>
      <c r="K12" s="7"/>
    </row>
    <row r="13" spans="2:13" s="6" customFormat="1" ht="14.25" customHeight="1" x14ac:dyDescent="0.25">
      <c r="B13" s="54" t="str">
        <f>'2_Studienverlaufsplan'!B12</f>
        <v>3 Konstruktionstechnik</v>
      </c>
      <c r="C13" s="70" t="s">
        <v>35</v>
      </c>
      <c r="D13" s="37"/>
      <c r="E13" s="71"/>
      <c r="F13" s="71" t="s">
        <v>34</v>
      </c>
      <c r="G13" s="122">
        <v>30</v>
      </c>
      <c r="H13" s="17"/>
      <c r="I13" s="110" t="s">
        <v>50</v>
      </c>
      <c r="J13" s="359">
        <f>'3.1_Nebenberechnungen'!F30</f>
        <v>16355.16</v>
      </c>
      <c r="K13" s="7"/>
    </row>
    <row r="14" spans="2:13" s="6" customFormat="1" ht="14.25" customHeight="1" x14ac:dyDescent="0.25">
      <c r="B14" s="54" t="str">
        <f>'2_Studienverlaufsplan'!B13</f>
        <v>4 Einführung in die Programmierung</v>
      </c>
      <c r="C14" s="70" t="s">
        <v>36</v>
      </c>
      <c r="D14" s="37" t="s">
        <v>34</v>
      </c>
      <c r="E14" s="71"/>
      <c r="F14" s="71"/>
      <c r="G14" s="122"/>
      <c r="H14" s="17"/>
      <c r="I14" s="110" t="s">
        <v>92</v>
      </c>
      <c r="J14" s="359">
        <f>IF(Anzahl_HS&lt;&gt;"",J13/Anzahl_HS,"")</f>
        <v>8177.58</v>
      </c>
      <c r="K14" s="7"/>
    </row>
    <row r="15" spans="2:13" s="6" customFormat="1" ht="14.25" customHeight="1" x14ac:dyDescent="0.25">
      <c r="B15" s="54" t="str">
        <f>'2_Studienverlaufsplan'!B14</f>
        <v>5 Werkstoffkunde</v>
      </c>
      <c r="C15" s="70" t="s">
        <v>35</v>
      </c>
      <c r="D15" s="37"/>
      <c r="E15" s="71" t="s">
        <v>34</v>
      </c>
      <c r="F15" s="71"/>
      <c r="G15" s="122"/>
      <c r="H15" s="17"/>
      <c r="I15" s="111" t="s">
        <v>79</v>
      </c>
      <c r="J15" s="360">
        <v>150</v>
      </c>
      <c r="K15" s="7"/>
    </row>
    <row r="16" spans="2:13" s="6" customFormat="1" ht="14.25" customHeight="1" thickBot="1" x14ac:dyDescent="0.3">
      <c r="B16" s="54" t="str">
        <f>'2_Studienverlaufsplan'!B15</f>
        <v>6</v>
      </c>
      <c r="C16" s="70" t="s">
        <v>36</v>
      </c>
      <c r="D16" s="37" t="s">
        <v>34</v>
      </c>
      <c r="E16" s="71"/>
      <c r="F16" s="71"/>
      <c r="G16" s="122"/>
      <c r="H16" s="17"/>
      <c r="I16" s="185" t="s">
        <v>42</v>
      </c>
      <c r="J16" s="361">
        <f>J13/Anzahl_Stud+(J15/J10)</f>
        <v>227.05</v>
      </c>
      <c r="K16" s="7"/>
    </row>
    <row r="17" spans="2:11" s="6" customFormat="1" ht="14.25" customHeight="1" thickBot="1" x14ac:dyDescent="0.3">
      <c r="B17" s="54">
        <f>'2_Studienverlaufsplan'!B16</f>
        <v>7</v>
      </c>
      <c r="C17" s="70" t="s">
        <v>35</v>
      </c>
      <c r="D17" s="37"/>
      <c r="E17" s="71" t="s">
        <v>34</v>
      </c>
      <c r="F17" s="71"/>
      <c r="G17" s="122"/>
      <c r="H17" s="17"/>
      <c r="I17" s="184" t="s">
        <v>93</v>
      </c>
      <c r="J17" s="362">
        <f>IF(Anzahl_HS&gt;=2,J14/Anzahl_Stud+(J15/J10),"")</f>
        <v>128.53</v>
      </c>
      <c r="K17" s="7"/>
    </row>
    <row r="18" spans="2:11" s="6" customFormat="1" ht="14.25" customHeight="1" x14ac:dyDescent="0.25">
      <c r="B18" s="54">
        <f>'2_Studienverlaufsplan'!B17</f>
        <v>8</v>
      </c>
      <c r="C18" s="70" t="s">
        <v>35</v>
      </c>
      <c r="D18" s="37"/>
      <c r="E18" s="71" t="s">
        <v>34</v>
      </c>
      <c r="F18" s="71"/>
      <c r="G18" s="122"/>
      <c r="H18" s="17"/>
      <c r="I18" s="7"/>
      <c r="J18" s="18"/>
      <c r="K18" s="7"/>
    </row>
    <row r="19" spans="2:11" s="6" customFormat="1" ht="14.25" customHeight="1" x14ac:dyDescent="0.25">
      <c r="B19" s="54">
        <f>'2_Studienverlaufsplan'!B18</f>
        <v>9</v>
      </c>
      <c r="C19" s="70" t="s">
        <v>35</v>
      </c>
      <c r="D19" s="37"/>
      <c r="E19" s="71"/>
      <c r="F19" s="71" t="s">
        <v>34</v>
      </c>
      <c r="G19" s="122"/>
      <c r="H19" s="17"/>
      <c r="K19" s="7"/>
    </row>
    <row r="20" spans="2:11" s="6" customFormat="1" ht="14.25" customHeight="1" x14ac:dyDescent="0.25">
      <c r="B20" s="54">
        <f>'2_Studienverlaufsplan'!B19</f>
        <v>10</v>
      </c>
      <c r="C20" s="70" t="s">
        <v>35</v>
      </c>
      <c r="D20" s="37"/>
      <c r="E20" s="71"/>
      <c r="F20" s="71" t="s">
        <v>34</v>
      </c>
      <c r="G20" s="122"/>
      <c r="H20" s="17"/>
      <c r="K20" s="7"/>
    </row>
    <row r="21" spans="2:11" s="6" customFormat="1" ht="14.25" customHeight="1" x14ac:dyDescent="0.25">
      <c r="B21" s="54">
        <f>'2_Studienverlaufsplan'!B20</f>
        <v>11</v>
      </c>
      <c r="C21" s="70" t="s">
        <v>35</v>
      </c>
      <c r="D21" s="37"/>
      <c r="E21" s="71" t="s">
        <v>34</v>
      </c>
      <c r="F21" s="71"/>
      <c r="G21" s="122"/>
      <c r="H21" s="17"/>
      <c r="K21" s="7"/>
    </row>
    <row r="22" spans="2:11" s="6" customFormat="1" ht="14.25" customHeight="1" x14ac:dyDescent="0.25">
      <c r="B22" s="54">
        <f>'2_Studienverlaufsplan'!B21</f>
        <v>12</v>
      </c>
      <c r="C22" s="70" t="s">
        <v>35</v>
      </c>
      <c r="D22" s="37"/>
      <c r="E22" s="71"/>
      <c r="F22" s="71" t="s">
        <v>34</v>
      </c>
      <c r="G22" s="122">
        <v>60</v>
      </c>
      <c r="H22" s="17"/>
      <c r="K22" s="7"/>
    </row>
    <row r="23" spans="2:11" s="6" customFormat="1" ht="14.25" customHeight="1" x14ac:dyDescent="0.25">
      <c r="B23" s="54">
        <f>'2_Studienverlaufsplan'!B22</f>
        <v>13</v>
      </c>
      <c r="C23" s="70" t="s">
        <v>35</v>
      </c>
      <c r="D23" s="37"/>
      <c r="E23" s="71" t="s">
        <v>34</v>
      </c>
      <c r="F23" s="71"/>
      <c r="G23" s="122"/>
      <c r="H23" s="17"/>
      <c r="K23" s="7"/>
    </row>
    <row r="24" spans="2:11" s="6" customFormat="1" ht="14.25" customHeight="1" x14ac:dyDescent="0.25">
      <c r="B24" s="54">
        <f>'2_Studienverlaufsplan'!B23</f>
        <v>14</v>
      </c>
      <c r="C24" s="70" t="s">
        <v>35</v>
      </c>
      <c r="D24" s="37"/>
      <c r="E24" s="71"/>
      <c r="F24" s="71" t="s">
        <v>34</v>
      </c>
      <c r="G24" s="122"/>
      <c r="H24" s="17"/>
      <c r="K24" s="7"/>
    </row>
    <row r="25" spans="2:11" s="6" customFormat="1" ht="14.25" customHeight="1" x14ac:dyDescent="0.25">
      <c r="B25" s="54">
        <f>'2_Studienverlaufsplan'!B24</f>
        <v>15</v>
      </c>
      <c r="C25" s="70" t="s">
        <v>35</v>
      </c>
      <c r="D25" s="37"/>
      <c r="E25" s="71" t="s">
        <v>34</v>
      </c>
      <c r="F25" s="71"/>
      <c r="G25" s="122"/>
      <c r="H25" s="17"/>
      <c r="K25" s="7"/>
    </row>
    <row r="26" spans="2:11" s="6" customFormat="1" ht="14.25" customHeight="1" thickBot="1" x14ac:dyDescent="0.3">
      <c r="B26" s="54">
        <f>'2_Studienverlaufsplan'!B25</f>
        <v>16</v>
      </c>
      <c r="C26" s="70" t="s">
        <v>35</v>
      </c>
      <c r="D26" s="37"/>
      <c r="E26" s="71" t="s">
        <v>34</v>
      </c>
      <c r="F26" s="72"/>
      <c r="G26" s="122"/>
      <c r="H26" s="17"/>
      <c r="I26" s="56" t="s">
        <v>98</v>
      </c>
      <c r="J26" s="34"/>
      <c r="K26" s="7"/>
    </row>
    <row r="27" spans="2:11" s="6" customFormat="1" ht="14.25" customHeight="1" x14ac:dyDescent="0.25">
      <c r="B27" s="54">
        <f>'2_Studienverlaufsplan'!B26</f>
        <v>17</v>
      </c>
      <c r="C27" s="73" t="s">
        <v>35</v>
      </c>
      <c r="D27" s="37"/>
      <c r="E27" s="71" t="s">
        <v>34</v>
      </c>
      <c r="F27" s="72"/>
      <c r="G27" s="122"/>
      <c r="H27" s="17"/>
      <c r="I27" s="78" t="s">
        <v>99</v>
      </c>
      <c r="J27" s="112">
        <v>10</v>
      </c>
      <c r="K27" s="7"/>
    </row>
    <row r="28" spans="2:11" s="6" customFormat="1" ht="14.25" customHeight="1" x14ac:dyDescent="0.25">
      <c r="B28" s="54">
        <f>'2_Studienverlaufsplan'!B27</f>
        <v>18</v>
      </c>
      <c r="C28" s="70" t="s">
        <v>35</v>
      </c>
      <c r="D28" s="37"/>
      <c r="E28" s="71"/>
      <c r="F28" s="72" t="s">
        <v>34</v>
      </c>
      <c r="G28" s="122">
        <v>50</v>
      </c>
      <c r="H28" s="17"/>
      <c r="I28" s="79" t="s">
        <v>100</v>
      </c>
      <c r="J28" s="113">
        <v>0.7</v>
      </c>
      <c r="K28" s="7"/>
    </row>
    <row r="29" spans="2:11" s="6" customFormat="1" ht="14.25" customHeight="1" x14ac:dyDescent="0.25">
      <c r="B29" s="54">
        <f>'2_Studienverlaufsplan'!B28</f>
        <v>19</v>
      </c>
      <c r="C29" s="73" t="s">
        <v>35</v>
      </c>
      <c r="D29" s="37"/>
      <c r="E29" s="71" t="s">
        <v>34</v>
      </c>
      <c r="F29" s="72"/>
      <c r="G29" s="122"/>
      <c r="H29" s="17"/>
      <c r="I29" s="79" t="s">
        <v>38</v>
      </c>
      <c r="J29" s="364">
        <v>2556.56</v>
      </c>
      <c r="K29" s="7"/>
    </row>
    <row r="30" spans="2:11" s="6" customFormat="1" ht="14.25" customHeight="1" thickBot="1" x14ac:dyDescent="0.3">
      <c r="B30" s="55">
        <f>'2_Studienverlaufsplan'!B29</f>
        <v>20</v>
      </c>
      <c r="C30" s="74" t="s">
        <v>35</v>
      </c>
      <c r="D30" s="75"/>
      <c r="E30" s="76" t="s">
        <v>34</v>
      </c>
      <c r="F30" s="77"/>
      <c r="G30" s="123"/>
      <c r="H30" s="17"/>
      <c r="I30" s="80" t="s">
        <v>37</v>
      </c>
      <c r="J30" s="365">
        <f>J29/J28</f>
        <v>3652.23</v>
      </c>
      <c r="K30" s="7"/>
    </row>
    <row r="31" spans="2:11" s="12" customFormat="1" ht="15.75" x14ac:dyDescent="0.25">
      <c r="B31" s="45"/>
      <c r="C31" s="302"/>
      <c r="D31" s="303"/>
      <c r="E31" s="302"/>
      <c r="F31" s="304"/>
      <c r="G31" s="305"/>
      <c r="H31" s="94"/>
      <c r="I31" s="9"/>
      <c r="J31" s="95"/>
      <c r="K31" s="9"/>
    </row>
    <row r="32" spans="2:11" s="6" customFormat="1" ht="15.75" x14ac:dyDescent="0.25">
      <c r="C32" s="34"/>
      <c r="D32" s="27"/>
      <c r="E32" s="27"/>
      <c r="F32" s="27"/>
      <c r="G32" s="27"/>
      <c r="H32" s="27"/>
      <c r="K32" s="34"/>
    </row>
    <row r="33" spans="7:11" s="6" customFormat="1" ht="15.75" x14ac:dyDescent="0.25">
      <c r="G33" s="47"/>
      <c r="H33" s="47"/>
      <c r="K33" s="34"/>
    </row>
    <row r="34" spans="7:11" s="6" customFormat="1" ht="15.75" x14ac:dyDescent="0.25">
      <c r="G34" s="100"/>
      <c r="K34" s="100"/>
    </row>
    <row r="35" spans="7:11" s="6" customFormat="1" ht="19.5" customHeight="1" x14ac:dyDescent="0.25">
      <c r="G35" s="101"/>
      <c r="K35" s="102"/>
    </row>
    <row r="36" spans="7:11" s="6" customFormat="1" ht="15.75" customHeight="1" x14ac:dyDescent="0.25">
      <c r="G36" s="60"/>
      <c r="K36" s="60"/>
    </row>
    <row r="37" spans="7:11" s="6" customFormat="1" ht="15.75" customHeight="1" x14ac:dyDescent="0.25">
      <c r="G37" s="60"/>
      <c r="K37" s="60"/>
    </row>
    <row r="38" spans="7:11" s="6" customFormat="1" ht="15.75" customHeight="1" x14ac:dyDescent="0.25">
      <c r="G38" s="7"/>
      <c r="K38" s="60"/>
    </row>
    <row r="39" spans="7:11" s="6" customFormat="1" ht="15.75" customHeight="1" x14ac:dyDescent="0.25">
      <c r="G39" s="60"/>
      <c r="K39" s="60"/>
    </row>
    <row r="40" spans="7:11" s="6" customFormat="1" ht="15.75" customHeight="1" x14ac:dyDescent="0.25">
      <c r="G40" s="60"/>
      <c r="K40" s="60"/>
    </row>
    <row r="41" spans="7:11" s="6" customFormat="1" ht="15.75" customHeight="1" x14ac:dyDescent="0.25">
      <c r="G41" s="60"/>
      <c r="K41" s="60"/>
    </row>
    <row r="42" spans="7:11" s="6" customFormat="1" ht="15.75" customHeight="1" x14ac:dyDescent="0.25">
      <c r="G42" s="60"/>
      <c r="K42" s="60"/>
    </row>
    <row r="43" spans="7:11" s="6" customFormat="1" ht="15.75" customHeight="1" x14ac:dyDescent="0.25">
      <c r="G43" s="60"/>
      <c r="K43" s="60"/>
    </row>
    <row r="44" spans="7:11" s="6" customFormat="1" ht="15.75" customHeight="1" x14ac:dyDescent="0.25">
      <c r="G44" s="60"/>
      <c r="H44" s="61"/>
      <c r="K44" s="60"/>
    </row>
    <row r="45" spans="7:11" s="6" customFormat="1" ht="15.75" customHeight="1" x14ac:dyDescent="0.25">
      <c r="G45" s="60"/>
      <c r="H45" s="61"/>
      <c r="K45" s="60"/>
    </row>
    <row r="46" spans="7:11" s="6" customFormat="1" ht="15.75" customHeight="1" x14ac:dyDescent="0.25">
      <c r="G46" s="60"/>
      <c r="H46" s="61"/>
      <c r="K46" s="60"/>
    </row>
    <row r="47" spans="7:11" s="6" customFormat="1" ht="15.75" customHeight="1" x14ac:dyDescent="0.25">
      <c r="G47" s="60"/>
      <c r="H47" s="61"/>
      <c r="K47" s="60"/>
    </row>
    <row r="48" spans="7:11" s="6" customFormat="1" ht="15.75" customHeight="1" x14ac:dyDescent="0.25">
      <c r="G48" s="60"/>
      <c r="H48" s="61"/>
      <c r="K48" s="60"/>
    </row>
    <row r="49" spans="2:11" s="6" customFormat="1" ht="15.75" customHeight="1" x14ac:dyDescent="0.25">
      <c r="G49" s="60"/>
      <c r="H49" s="61"/>
      <c r="K49" s="60"/>
    </row>
    <row r="50" spans="2:11" s="6" customFormat="1" ht="15.75" customHeight="1" x14ac:dyDescent="0.25">
      <c r="G50" s="60"/>
      <c r="H50" s="61"/>
      <c r="K50" s="60"/>
    </row>
    <row r="51" spans="2:11" s="6" customFormat="1" ht="15.75" customHeight="1" x14ac:dyDescent="0.25">
      <c r="G51" s="60"/>
      <c r="H51" s="61"/>
      <c r="I51" s="60"/>
      <c r="J51" s="103"/>
      <c r="K51" s="60"/>
    </row>
    <row r="52" spans="2:11" s="6" customFormat="1" ht="15.75" customHeight="1" x14ac:dyDescent="0.25">
      <c r="G52" s="60"/>
      <c r="H52" s="61"/>
      <c r="I52" s="60"/>
      <c r="J52" s="103"/>
      <c r="K52" s="60"/>
    </row>
    <row r="53" spans="2:11" s="6" customFormat="1" ht="15.75" customHeight="1" x14ac:dyDescent="0.25">
      <c r="G53" s="60"/>
      <c r="H53" s="61"/>
      <c r="I53" s="60"/>
      <c r="J53" s="103"/>
      <c r="K53" s="60"/>
    </row>
    <row r="54" spans="2:11" s="6" customFormat="1" ht="15.75" customHeight="1" x14ac:dyDescent="0.25">
      <c r="G54" s="60"/>
      <c r="H54" s="61"/>
      <c r="I54" s="60"/>
      <c r="J54" s="103"/>
      <c r="K54" s="60"/>
    </row>
    <row r="55" spans="2:11" s="6" customFormat="1" ht="15.75" customHeight="1" x14ac:dyDescent="0.25">
      <c r="G55" s="60"/>
      <c r="H55" s="61"/>
      <c r="I55" s="60"/>
      <c r="J55" s="103"/>
      <c r="K55" s="60"/>
    </row>
    <row r="56" spans="2:11" s="6" customFormat="1" ht="15.75" customHeight="1" x14ac:dyDescent="0.25">
      <c r="G56" s="60"/>
      <c r="H56" s="61"/>
      <c r="I56" s="60"/>
      <c r="J56" s="60"/>
      <c r="K56" s="60"/>
    </row>
    <row r="57" spans="2:11" s="12" customFormat="1" ht="15.75" x14ac:dyDescent="0.25">
      <c r="B57" s="45"/>
      <c r="C57" s="60"/>
      <c r="D57" s="60"/>
      <c r="E57" s="60"/>
      <c r="F57" s="60"/>
      <c r="G57" s="60"/>
      <c r="H57" s="61"/>
      <c r="I57" s="60"/>
      <c r="J57" s="60"/>
      <c r="K57" s="26"/>
    </row>
    <row r="58" spans="2:11" s="12" customFormat="1" ht="15.75" x14ac:dyDescent="0.25">
      <c r="D58" s="60"/>
      <c r="E58" s="60"/>
      <c r="F58" s="60"/>
      <c r="G58" s="60"/>
      <c r="H58" s="60"/>
      <c r="I58" s="60"/>
      <c r="J58" s="60"/>
      <c r="K58" s="26"/>
    </row>
    <row r="59" spans="2:11" s="6" customFormat="1" ht="15.75" x14ac:dyDescent="0.25">
      <c r="D59" s="34"/>
      <c r="E59" s="34"/>
      <c r="F59" s="34"/>
      <c r="G59" s="34"/>
      <c r="H59" s="34"/>
      <c r="I59" s="34"/>
      <c r="J59" s="34"/>
      <c r="K59" s="34"/>
    </row>
    <row r="60" spans="2:11" s="6" customFormat="1" ht="15.75" x14ac:dyDescent="0.25">
      <c r="D60" s="57"/>
      <c r="E60" s="34"/>
      <c r="F60" s="34"/>
      <c r="G60" s="34"/>
      <c r="H60" s="34"/>
      <c r="I60" s="34"/>
      <c r="J60" s="34"/>
      <c r="K60" s="34"/>
    </row>
    <row r="61" spans="2:11" s="6" customFormat="1" ht="15.75" x14ac:dyDescent="0.25">
      <c r="D61" s="34"/>
      <c r="E61" s="34"/>
      <c r="F61" s="34"/>
      <c r="G61" s="34"/>
      <c r="H61" s="34"/>
      <c r="I61" s="34"/>
      <c r="J61" s="34"/>
      <c r="K61" s="34"/>
    </row>
    <row r="62" spans="2:11" s="6" customFormat="1" ht="15.75" x14ac:dyDescent="0.25">
      <c r="D62" s="34"/>
      <c r="E62" s="34"/>
      <c r="F62" s="34"/>
      <c r="G62" s="34"/>
      <c r="H62" s="34"/>
      <c r="I62" s="34"/>
      <c r="J62" s="34"/>
      <c r="K62" s="34"/>
    </row>
    <row r="63" spans="2:11" s="6" customFormat="1" ht="15.75" x14ac:dyDescent="0.25">
      <c r="D63" s="62"/>
      <c r="E63" s="34"/>
      <c r="F63" s="34"/>
      <c r="G63" s="34"/>
      <c r="H63" s="34"/>
      <c r="I63" s="34"/>
      <c r="J63" s="34"/>
      <c r="K63" s="34"/>
    </row>
    <row r="64" spans="2:11" s="6" customFormat="1" ht="15.75" x14ac:dyDescent="0.25">
      <c r="D64" s="33"/>
      <c r="E64" s="34"/>
      <c r="F64" s="34"/>
      <c r="G64" s="34"/>
      <c r="H64" s="34"/>
      <c r="I64" s="34"/>
      <c r="J64" s="34"/>
      <c r="K64" s="34"/>
    </row>
    <row r="65" spans="2:11" s="6" customFormat="1" ht="15.75" x14ac:dyDescent="0.25">
      <c r="D65" s="63"/>
      <c r="E65" s="34"/>
      <c r="F65" s="34"/>
      <c r="G65" s="34"/>
      <c r="H65" s="34"/>
      <c r="I65" s="34"/>
      <c r="J65" s="34"/>
      <c r="K65" s="34"/>
    </row>
    <row r="66" spans="2:11" s="6" customFormat="1" ht="15.75" x14ac:dyDescent="0.25">
      <c r="D66" s="34"/>
      <c r="E66" s="34"/>
      <c r="F66" s="34"/>
      <c r="G66" s="34"/>
      <c r="H66" s="34"/>
      <c r="I66" s="34"/>
      <c r="J66" s="34"/>
      <c r="K66" s="34"/>
    </row>
    <row r="68" spans="2:11" ht="15.75" x14ac:dyDescent="0.25">
      <c r="B68" s="6"/>
    </row>
    <row r="69" spans="2:11" ht="15.75" x14ac:dyDescent="0.25">
      <c r="B69" s="6"/>
    </row>
    <row r="70" spans="2:11" ht="15.75" x14ac:dyDescent="0.25">
      <c r="B70" s="6"/>
    </row>
    <row r="71" spans="2:11" ht="15.75" x14ac:dyDescent="0.25">
      <c r="B71" s="6"/>
    </row>
    <row r="72" spans="2:11" ht="15.75" x14ac:dyDescent="0.25">
      <c r="B72" s="6"/>
    </row>
    <row r="73" spans="2:11" ht="15.75" x14ac:dyDescent="0.25">
      <c r="B73" s="6"/>
    </row>
  </sheetData>
  <sheetProtection password="C2D2" sheet="1" objects="1" scenarios="1"/>
  <protectedRanges>
    <protectedRange password="B0F3" sqref="J27 J15 J29 C11:C31 E11:G31" name="Lehrmaterial"/>
  </protectedRanges>
  <mergeCells count="1">
    <mergeCell ref="E2:H2"/>
  </mergeCells>
  <conditionalFormatting sqref="J31"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scale="66" orientation="landscape" r:id="rId1"/>
  <headerFooter>
    <oddHeader xml:space="preserve">&amp;R&amp;7 3_Lehrmaterial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B1:K30"/>
  <sheetViews>
    <sheetView showGridLines="0" zoomScale="130" zoomScaleNormal="130" workbookViewId="0">
      <selection activeCell="E39" sqref="E39"/>
    </sheetView>
  </sheetViews>
  <sheetFormatPr baseColWidth="10" defaultRowHeight="15" x14ac:dyDescent="0.25"/>
  <cols>
    <col min="1" max="1" width="16.140625" customWidth="1"/>
    <col min="2" max="2" width="32.42578125" customWidth="1"/>
    <col min="3" max="3" width="17.7109375" customWidth="1"/>
    <col min="4" max="4" width="16.28515625" customWidth="1"/>
    <col min="5" max="5" width="20.42578125" customWidth="1"/>
    <col min="6" max="6" width="13.140625" customWidth="1"/>
    <col min="9" max="9" width="9.5703125" customWidth="1"/>
    <col min="10" max="10" width="12.28515625" customWidth="1"/>
  </cols>
  <sheetData>
    <row r="1" spans="2:11" ht="15.75" thickBot="1" x14ac:dyDescent="0.3">
      <c r="G1" s="11" t="s">
        <v>107</v>
      </c>
      <c r="H1" s="25">
        <f>Stand_Datum</f>
        <v>43564</v>
      </c>
      <c r="I1" s="293" t="s">
        <v>105</v>
      </c>
      <c r="K1" s="295"/>
    </row>
    <row r="2" spans="2:11" ht="15.75" thickBot="1" x14ac:dyDescent="0.3">
      <c r="C2" s="481" t="str">
        <f>Studiengangsbezeichnung</f>
        <v>Musterstudiengang</v>
      </c>
      <c r="D2" s="482"/>
      <c r="E2" s="483"/>
    </row>
    <row r="7" spans="2:11" ht="15.75" thickBot="1" x14ac:dyDescent="0.3">
      <c r="B7" s="58" t="s">
        <v>215</v>
      </c>
      <c r="C7" s="59"/>
      <c r="D7" s="47"/>
      <c r="E7" s="47"/>
      <c r="F7" s="47"/>
    </row>
    <row r="8" spans="2:11" x14ac:dyDescent="0.25">
      <c r="B8" s="118"/>
      <c r="C8" s="119"/>
      <c r="D8" s="51" t="s">
        <v>101</v>
      </c>
      <c r="E8" s="51"/>
      <c r="F8" s="52"/>
    </row>
    <row r="9" spans="2:11" x14ac:dyDescent="0.25">
      <c r="B9" s="120" t="s">
        <v>13</v>
      </c>
      <c r="C9" s="117" t="s">
        <v>193</v>
      </c>
      <c r="D9" s="114" t="s">
        <v>14</v>
      </c>
      <c r="E9" s="106" t="s">
        <v>20</v>
      </c>
      <c r="F9" s="107" t="s">
        <v>102</v>
      </c>
    </row>
    <row r="10" spans="2:11" x14ac:dyDescent="0.25">
      <c r="B10" s="115" t="str">
        <f>IF('3_Lehrmaterial'!B11="","",'3_Lehrmaterial'!B11)</f>
        <v>1 Mathematik</v>
      </c>
      <c r="C10" s="116">
        <f>'2_Studienverlaufsplan'!H10</f>
        <v>3</v>
      </c>
      <c r="D10" s="367">
        <f>C10*Vergütung_SWS/Semester*IF(AND('3_Lehrmaterial'!C11="ja",'3_Lehrmaterial'!E11="x"),100%,IF(AND('3_Lehrmaterial'!C11="ja",'3_Lehrmaterial'!F11="x",'3_Lehrmaterial'!G11&lt;&gt;""),('3_Lehrmaterial'!G11/100),IF(OR('3_Lehrmaterial'!C11&lt;&gt;"ja",'3_Lehrmaterial'!C11=""),"0,00")))</f>
        <v>1095.67</v>
      </c>
      <c r="E10" s="367">
        <f>IF('3_Lehrmaterial'!C11="ja",Druck_pauschal*Anzahl_Stud,"0,00")</f>
        <v>166</v>
      </c>
      <c r="F10" s="368">
        <f t="shared" ref="F10:F29" si="0">IF(E10&lt;&gt;"",D10+E10,"0,00")</f>
        <v>1261.67</v>
      </c>
    </row>
    <row r="11" spans="2:11" x14ac:dyDescent="0.25">
      <c r="B11" s="79" t="str">
        <f>IF('3_Lehrmaterial'!B12="","",'3_Lehrmaterial'!B12)</f>
        <v>2 Mechanik</v>
      </c>
      <c r="C11" s="82">
        <f>'2_Studienverlaufsplan'!H11</f>
        <v>3</v>
      </c>
      <c r="D11" s="367">
        <f>C11*Vergütung_SWS/Semester*IF(AND('3_Lehrmaterial'!C12="ja",'3_Lehrmaterial'!E12="x"),100%,IF(AND('3_Lehrmaterial'!C12="ja",'3_Lehrmaterial'!F12="x",'3_Lehrmaterial'!G12&lt;&gt;""),('3_Lehrmaterial'!G12/100),IF(OR('3_Lehrmaterial'!C12&lt;&gt;"ja",'3_Lehrmaterial'!C12=""),"0,00")))</f>
        <v>1095.67</v>
      </c>
      <c r="E11" s="367">
        <f>IF('3_Lehrmaterial'!C12="ja",Druck_pauschal*Anzahl_Stud,"0,00")</f>
        <v>166</v>
      </c>
      <c r="F11" s="368">
        <f t="shared" si="0"/>
        <v>1261.67</v>
      </c>
    </row>
    <row r="12" spans="2:11" x14ac:dyDescent="0.25">
      <c r="B12" s="79" t="str">
        <f>IF('3_Lehrmaterial'!B13="","",'3_Lehrmaterial'!B13)</f>
        <v>3 Konstruktionstechnik</v>
      </c>
      <c r="C12" s="82">
        <f>'2_Studienverlaufsplan'!H12</f>
        <v>3.5</v>
      </c>
      <c r="D12" s="367">
        <f>C12*Vergütung_SWS/Semester*IF(AND('3_Lehrmaterial'!C13="ja",'3_Lehrmaterial'!E13="x"),100%,IF(AND('3_Lehrmaterial'!C13="ja",'3_Lehrmaterial'!F13="x",'3_Lehrmaterial'!G13&lt;&gt;""),('3_Lehrmaterial'!G13/100),IF(OR('3_Lehrmaterial'!C13&lt;&gt;"ja",'3_Lehrmaterial'!C13=""),"0,00")))</f>
        <v>383.48</v>
      </c>
      <c r="E12" s="367">
        <f>IF('3_Lehrmaterial'!C13="ja",Druck_pauschal*Anzahl_Stud,"0,00")</f>
        <v>166</v>
      </c>
      <c r="F12" s="368">
        <f t="shared" si="0"/>
        <v>549.48</v>
      </c>
    </row>
    <row r="13" spans="2:11" x14ac:dyDescent="0.25">
      <c r="B13" s="79" t="str">
        <f>IF('3_Lehrmaterial'!B14="","",'3_Lehrmaterial'!B14)</f>
        <v>4 Einführung in die Programmierung</v>
      </c>
      <c r="C13" s="82">
        <f>'2_Studienverlaufsplan'!H13</f>
        <v>2</v>
      </c>
      <c r="D13" s="367">
        <f>C13*Vergütung_SWS/Semester*IF(AND('3_Lehrmaterial'!C14="ja",'3_Lehrmaterial'!E14="x"),100%,IF(AND('3_Lehrmaterial'!C14="ja",'3_Lehrmaterial'!F14="x",'3_Lehrmaterial'!G14&lt;&gt;""),('3_Lehrmaterial'!G14/100),IF(OR('3_Lehrmaterial'!C14&lt;&gt;"ja",'3_Lehrmaterial'!C14=""),"0,00")))</f>
        <v>0</v>
      </c>
      <c r="E13" s="367" t="str">
        <f>IF('3_Lehrmaterial'!C14="ja",Druck_pauschal*Anzahl_Stud,"0,00")</f>
        <v>0,00</v>
      </c>
      <c r="F13" s="368">
        <f t="shared" si="0"/>
        <v>0</v>
      </c>
    </row>
    <row r="14" spans="2:11" x14ac:dyDescent="0.25">
      <c r="B14" s="79" t="str">
        <f>IF('3_Lehrmaterial'!B15="","",'3_Lehrmaterial'!B15)</f>
        <v>5 Werkstoffkunde</v>
      </c>
      <c r="C14" s="82">
        <f>'2_Studienverlaufsplan'!H14</f>
        <v>1.5</v>
      </c>
      <c r="D14" s="367">
        <f>C14*Vergütung_SWS/Semester*IF(AND('3_Lehrmaterial'!C15="ja",'3_Lehrmaterial'!E15="x"),100%,IF(AND('3_Lehrmaterial'!C15="ja",'3_Lehrmaterial'!F15="x",'3_Lehrmaterial'!G15&lt;&gt;""),('3_Lehrmaterial'!G15/100),IF(OR('3_Lehrmaterial'!C15&lt;&gt;"ja",'3_Lehrmaterial'!C15=""),"0,00")))</f>
        <v>547.83000000000004</v>
      </c>
      <c r="E14" s="367">
        <f>IF('3_Lehrmaterial'!C15="ja",Druck_pauschal*Anzahl_Stud,"0,00")</f>
        <v>166</v>
      </c>
      <c r="F14" s="368">
        <f t="shared" si="0"/>
        <v>713.83</v>
      </c>
    </row>
    <row r="15" spans="2:11" x14ac:dyDescent="0.25">
      <c r="B15" s="79" t="str">
        <f>IF('3_Lehrmaterial'!B16="","",'3_Lehrmaterial'!B16)</f>
        <v>6</v>
      </c>
      <c r="C15" s="82">
        <f>'2_Studienverlaufsplan'!H15</f>
        <v>3</v>
      </c>
      <c r="D15" s="367">
        <f>C15*Vergütung_SWS/Semester*IF(AND('3_Lehrmaterial'!C16="ja",'3_Lehrmaterial'!E16="x"),100%,IF(AND('3_Lehrmaterial'!C16="ja",'3_Lehrmaterial'!F16="x",'3_Lehrmaterial'!G16&lt;&gt;""),('3_Lehrmaterial'!G16/100),IF(OR('3_Lehrmaterial'!C16&lt;&gt;"ja",'3_Lehrmaterial'!C16=""),"0,00")))</f>
        <v>0</v>
      </c>
      <c r="E15" s="367" t="str">
        <f>IF('3_Lehrmaterial'!C16="ja",Druck_pauschal*Anzahl_Stud,"0,00")</f>
        <v>0,00</v>
      </c>
      <c r="F15" s="368">
        <f t="shared" si="0"/>
        <v>0</v>
      </c>
    </row>
    <row r="16" spans="2:11" x14ac:dyDescent="0.25">
      <c r="B16" s="79">
        <f>IF('3_Lehrmaterial'!B17="","",'3_Lehrmaterial'!B17)</f>
        <v>7</v>
      </c>
      <c r="C16" s="82">
        <f>'2_Studienverlaufsplan'!H16</f>
        <v>3</v>
      </c>
      <c r="D16" s="367">
        <f>C16*Vergütung_SWS/Semester*IF(AND('3_Lehrmaterial'!C17="ja",'3_Lehrmaterial'!E17="x"),100%,IF(AND('3_Lehrmaterial'!C17="ja",'3_Lehrmaterial'!F17="x",'3_Lehrmaterial'!G17&lt;&gt;""),('3_Lehrmaterial'!G17/100),IF(OR('3_Lehrmaterial'!C17&lt;&gt;"ja",'3_Lehrmaterial'!C17=""),"0,00")))</f>
        <v>1095.67</v>
      </c>
      <c r="E16" s="367">
        <f>IF('3_Lehrmaterial'!C17="ja",Druck_pauschal*Anzahl_Stud,"0,00")</f>
        <v>166</v>
      </c>
      <c r="F16" s="368">
        <f t="shared" si="0"/>
        <v>1261.67</v>
      </c>
    </row>
    <row r="17" spans="2:6" x14ac:dyDescent="0.25">
      <c r="B17" s="79">
        <f>IF('3_Lehrmaterial'!B18="","",'3_Lehrmaterial'!B18)</f>
        <v>8</v>
      </c>
      <c r="C17" s="82">
        <f>'2_Studienverlaufsplan'!H17</f>
        <v>3.5</v>
      </c>
      <c r="D17" s="367">
        <f>C17*Vergütung_SWS/Semester*IF(AND('3_Lehrmaterial'!C18="ja",'3_Lehrmaterial'!E18="x"),100%,IF(AND('3_Lehrmaterial'!C18="ja",'3_Lehrmaterial'!F18="x",'3_Lehrmaterial'!G18&lt;&gt;""),('3_Lehrmaterial'!G18/100),IF(OR('3_Lehrmaterial'!C18&lt;&gt;"ja",'3_Lehrmaterial'!C18=""),"0,00")))</f>
        <v>1278.28</v>
      </c>
      <c r="E17" s="367">
        <f>IF('3_Lehrmaterial'!C18="ja",Druck_pauschal*Anzahl_Stud,"0,00")</f>
        <v>166</v>
      </c>
      <c r="F17" s="368">
        <f t="shared" si="0"/>
        <v>1444.28</v>
      </c>
    </row>
    <row r="18" spans="2:6" x14ac:dyDescent="0.25">
      <c r="B18" s="79">
        <f>IF('3_Lehrmaterial'!B19="","",'3_Lehrmaterial'!B19)</f>
        <v>9</v>
      </c>
      <c r="C18" s="82">
        <f>'2_Studienverlaufsplan'!H18</f>
        <v>2</v>
      </c>
      <c r="D18" s="367">
        <f>C18*Vergütung_SWS/Semester*IF(AND('3_Lehrmaterial'!C19="ja",'3_Lehrmaterial'!E19="x"),100%,IF(AND('3_Lehrmaterial'!C19="ja",'3_Lehrmaterial'!F19="x",'3_Lehrmaterial'!G19&lt;&gt;""),('3_Lehrmaterial'!G19/100),IF(OR('3_Lehrmaterial'!C19&lt;&gt;"ja",'3_Lehrmaterial'!C19=""),"0,00")))</f>
        <v>0</v>
      </c>
      <c r="E18" s="367">
        <f>IF('3_Lehrmaterial'!C19="ja",Druck_pauschal*Anzahl_Stud,"0,00")</f>
        <v>166</v>
      </c>
      <c r="F18" s="368">
        <f t="shared" si="0"/>
        <v>166</v>
      </c>
    </row>
    <row r="19" spans="2:6" x14ac:dyDescent="0.25">
      <c r="B19" s="79">
        <f>IF('3_Lehrmaterial'!B20="","",'3_Lehrmaterial'!B20)</f>
        <v>10</v>
      </c>
      <c r="C19" s="82">
        <f>'2_Studienverlaufsplan'!H19</f>
        <v>1.5</v>
      </c>
      <c r="D19" s="367">
        <f>C19*Vergütung_SWS/Semester*IF(AND('3_Lehrmaterial'!C20="ja",'3_Lehrmaterial'!E20="x"),100%,IF(AND('3_Lehrmaterial'!C20="ja",'3_Lehrmaterial'!F20="x",'3_Lehrmaterial'!G20&lt;&gt;""),('3_Lehrmaterial'!G20/100),IF(OR('3_Lehrmaterial'!C20&lt;&gt;"ja",'3_Lehrmaterial'!C20=""),"0,00")))</f>
        <v>0</v>
      </c>
      <c r="E19" s="367">
        <f>IF('3_Lehrmaterial'!C20="ja",Druck_pauschal*Anzahl_Stud,"0,00")</f>
        <v>166</v>
      </c>
      <c r="F19" s="368">
        <f t="shared" si="0"/>
        <v>166</v>
      </c>
    </row>
    <row r="20" spans="2:6" x14ac:dyDescent="0.25">
      <c r="B20" s="79">
        <f>IF('3_Lehrmaterial'!B21="","",'3_Lehrmaterial'!B21)</f>
        <v>11</v>
      </c>
      <c r="C20" s="82">
        <f>'2_Studienverlaufsplan'!H20</f>
        <v>3</v>
      </c>
      <c r="D20" s="367">
        <f>C20*Vergütung_SWS/Semester*IF(AND('3_Lehrmaterial'!C21="ja",'3_Lehrmaterial'!E21="x"),100%,IF(AND('3_Lehrmaterial'!C21="ja",'3_Lehrmaterial'!F21="x",'3_Lehrmaterial'!G21&lt;&gt;""),('3_Lehrmaterial'!G21/100),IF(OR('3_Lehrmaterial'!C21&lt;&gt;"ja",'3_Lehrmaterial'!C21=""),"0,00")))</f>
        <v>1095.67</v>
      </c>
      <c r="E20" s="367">
        <f>IF('3_Lehrmaterial'!C21="ja",Druck_pauschal*Anzahl_Stud,"0,00")</f>
        <v>166</v>
      </c>
      <c r="F20" s="368">
        <f t="shared" si="0"/>
        <v>1261.67</v>
      </c>
    </row>
    <row r="21" spans="2:6" x14ac:dyDescent="0.25">
      <c r="B21" s="79">
        <f>IF('3_Lehrmaterial'!B22="","",'3_Lehrmaterial'!B22)</f>
        <v>12</v>
      </c>
      <c r="C21" s="82">
        <f>'2_Studienverlaufsplan'!H21</f>
        <v>3</v>
      </c>
      <c r="D21" s="367">
        <f>C21*Vergütung_SWS/Semester*IF(AND('3_Lehrmaterial'!C22="ja",'3_Lehrmaterial'!E22="x"),100%,IF(AND('3_Lehrmaterial'!C22="ja",'3_Lehrmaterial'!F22="x",'3_Lehrmaterial'!G22&lt;&gt;""),('3_Lehrmaterial'!G22/100),IF(OR('3_Lehrmaterial'!C22&lt;&gt;"ja",'3_Lehrmaterial'!C22=""),"0,00")))</f>
        <v>657.4</v>
      </c>
      <c r="E21" s="367">
        <f>IF('3_Lehrmaterial'!C22="ja",Druck_pauschal*Anzahl_Stud,"0,00")</f>
        <v>166</v>
      </c>
      <c r="F21" s="368">
        <f t="shared" si="0"/>
        <v>823.4</v>
      </c>
    </row>
    <row r="22" spans="2:6" x14ac:dyDescent="0.25">
      <c r="B22" s="79">
        <f>IF('3_Lehrmaterial'!B23="","",'3_Lehrmaterial'!B23)</f>
        <v>13</v>
      </c>
      <c r="C22" s="82">
        <f>'2_Studienverlaufsplan'!H22</f>
        <v>3.5</v>
      </c>
      <c r="D22" s="367">
        <f>C22*Vergütung_SWS/Semester*IF(AND('3_Lehrmaterial'!C23="ja",'3_Lehrmaterial'!E23="x"),100%,IF(AND('3_Lehrmaterial'!C23="ja",'3_Lehrmaterial'!F23="x",'3_Lehrmaterial'!G23&lt;&gt;""),('3_Lehrmaterial'!G23/100),IF(OR('3_Lehrmaterial'!C23&lt;&gt;"ja",'3_Lehrmaterial'!C23=""),"0,00")))</f>
        <v>1278.28</v>
      </c>
      <c r="E22" s="367">
        <f>IF('3_Lehrmaterial'!C23="ja",Druck_pauschal*Anzahl_Stud,"0,00")</f>
        <v>166</v>
      </c>
      <c r="F22" s="368">
        <f t="shared" si="0"/>
        <v>1444.28</v>
      </c>
    </row>
    <row r="23" spans="2:6" x14ac:dyDescent="0.25">
      <c r="B23" s="79">
        <f>IF('3_Lehrmaterial'!B24="","",'3_Lehrmaterial'!B24)</f>
        <v>14</v>
      </c>
      <c r="C23" s="82">
        <f>'2_Studienverlaufsplan'!H23</f>
        <v>2</v>
      </c>
      <c r="D23" s="367">
        <f>C23*Vergütung_SWS/Semester*IF(AND('3_Lehrmaterial'!C24="ja",'3_Lehrmaterial'!E24="x"),100%,IF(AND('3_Lehrmaterial'!C24="ja",'3_Lehrmaterial'!F24="x",'3_Lehrmaterial'!G24&lt;&gt;""),('3_Lehrmaterial'!G24/100),IF(OR('3_Lehrmaterial'!C24&lt;&gt;"ja",'3_Lehrmaterial'!C24=""),"0,00")))</f>
        <v>0</v>
      </c>
      <c r="E23" s="367">
        <f>IF('3_Lehrmaterial'!C24="ja",Druck_pauschal*Anzahl_Stud,"0,00")</f>
        <v>166</v>
      </c>
      <c r="F23" s="368">
        <f t="shared" si="0"/>
        <v>166</v>
      </c>
    </row>
    <row r="24" spans="2:6" x14ac:dyDescent="0.25">
      <c r="B24" s="79">
        <f>IF('3_Lehrmaterial'!B25="","",'3_Lehrmaterial'!B25)</f>
        <v>15</v>
      </c>
      <c r="C24" s="82">
        <f>'2_Studienverlaufsplan'!H24</f>
        <v>1.5</v>
      </c>
      <c r="D24" s="367">
        <f>C24*Vergütung_SWS/Semester*IF(AND('3_Lehrmaterial'!C25="ja",'3_Lehrmaterial'!E25="x"),100%,IF(AND('3_Lehrmaterial'!C25="ja",'3_Lehrmaterial'!F25="x",'3_Lehrmaterial'!G25&lt;&gt;""),('3_Lehrmaterial'!G25/100),IF(OR('3_Lehrmaterial'!C25&lt;&gt;"ja",'3_Lehrmaterial'!C25=""),"0,00")))</f>
        <v>547.83000000000004</v>
      </c>
      <c r="E24" s="367">
        <f>IF('3_Lehrmaterial'!C25="ja",Druck_pauschal*Anzahl_Stud,"0,00")</f>
        <v>166</v>
      </c>
      <c r="F24" s="368">
        <f t="shared" si="0"/>
        <v>713.83</v>
      </c>
    </row>
    <row r="25" spans="2:6" x14ac:dyDescent="0.25">
      <c r="B25" s="79">
        <f>IF('3_Lehrmaterial'!B26="","",'3_Lehrmaterial'!B26)</f>
        <v>16</v>
      </c>
      <c r="C25" s="82">
        <f>'2_Studienverlaufsplan'!H25</f>
        <v>3</v>
      </c>
      <c r="D25" s="367">
        <f>C25*Vergütung_SWS/Semester*IF(AND('3_Lehrmaterial'!C26="ja",'3_Lehrmaterial'!E26="x"),100%,IF(AND('3_Lehrmaterial'!C26="ja",'3_Lehrmaterial'!F26="x",'3_Lehrmaterial'!G26&lt;&gt;""),('3_Lehrmaterial'!G26/100),IF(OR('3_Lehrmaterial'!C26&lt;&gt;"ja",'3_Lehrmaterial'!C26=""),"0,00")))</f>
        <v>1095.67</v>
      </c>
      <c r="E25" s="367">
        <f>IF('3_Lehrmaterial'!C26="ja",Druck_pauschal*Anzahl_Stud,"0,00")</f>
        <v>166</v>
      </c>
      <c r="F25" s="368">
        <f t="shared" si="0"/>
        <v>1261.67</v>
      </c>
    </row>
    <row r="26" spans="2:6" x14ac:dyDescent="0.25">
      <c r="B26" s="79">
        <f>IF('3_Lehrmaterial'!B27="","",'3_Lehrmaterial'!B27)</f>
        <v>17</v>
      </c>
      <c r="C26" s="82">
        <f>'2_Studienverlaufsplan'!H26</f>
        <v>2.5</v>
      </c>
      <c r="D26" s="367">
        <f>C26*Vergütung_SWS/Semester*IF(AND('3_Lehrmaterial'!C27="ja",'3_Lehrmaterial'!E27="x"),100%,IF(AND('3_Lehrmaterial'!C27="ja",'3_Lehrmaterial'!F27="x",'3_Lehrmaterial'!G27&lt;&gt;""),('3_Lehrmaterial'!G27/100),IF(OR('3_Lehrmaterial'!C27&lt;&gt;"ja",'3_Lehrmaterial'!C27=""),"0,00")))</f>
        <v>913.06</v>
      </c>
      <c r="E26" s="367">
        <f>IF('3_Lehrmaterial'!C27="ja",Druck_pauschal*Anzahl_Stud,"0,00")</f>
        <v>166</v>
      </c>
      <c r="F26" s="368">
        <f t="shared" si="0"/>
        <v>1079.06</v>
      </c>
    </row>
    <row r="27" spans="2:6" x14ac:dyDescent="0.25">
      <c r="B27" s="79">
        <f>IF('3_Lehrmaterial'!B28="","",'3_Lehrmaterial'!B28)</f>
        <v>18</v>
      </c>
      <c r="C27" s="82">
        <f>'2_Studienverlaufsplan'!H27</f>
        <v>2.5</v>
      </c>
      <c r="D27" s="367">
        <f>C27*Vergütung_SWS/Semester*IF(AND('3_Lehrmaterial'!C28="ja",'3_Lehrmaterial'!E28="x"),100%,IF(AND('3_Lehrmaterial'!C28="ja",'3_Lehrmaterial'!F28="x",'3_Lehrmaterial'!G28&lt;&gt;""),('3_Lehrmaterial'!G28/100),IF(OR('3_Lehrmaterial'!C28&lt;&gt;"ja",'3_Lehrmaterial'!C28=""),"0,00")))</f>
        <v>456.53</v>
      </c>
      <c r="E27" s="367">
        <f>IF('3_Lehrmaterial'!C28="ja",Druck_pauschal*Anzahl_Stud,"0,00")</f>
        <v>166</v>
      </c>
      <c r="F27" s="368">
        <f t="shared" si="0"/>
        <v>622.53</v>
      </c>
    </row>
    <row r="28" spans="2:6" x14ac:dyDescent="0.25">
      <c r="B28" s="79">
        <f>IF('3_Lehrmaterial'!B29="","",'3_Lehrmaterial'!B29)</f>
        <v>19</v>
      </c>
      <c r="C28" s="82">
        <f>'2_Studienverlaufsplan'!H28</f>
        <v>2.5</v>
      </c>
      <c r="D28" s="367">
        <f>C28*Vergütung_SWS/Semester*IF(AND('3_Lehrmaterial'!C29="ja",'3_Lehrmaterial'!E29="x"),100%,IF(AND('3_Lehrmaterial'!C29="ja",'3_Lehrmaterial'!F29="x",'3_Lehrmaterial'!G29&lt;&gt;""),('3_Lehrmaterial'!G29/100),IF(OR('3_Lehrmaterial'!C29&lt;&gt;"ja",'3_Lehrmaterial'!C29=""),"0,00")))</f>
        <v>913.06</v>
      </c>
      <c r="E28" s="367">
        <f>IF('3_Lehrmaterial'!C29="ja",Druck_pauschal*Anzahl_Stud,"0,00")</f>
        <v>166</v>
      </c>
      <c r="F28" s="368">
        <f t="shared" si="0"/>
        <v>1079.06</v>
      </c>
    </row>
    <row r="29" spans="2:6" x14ac:dyDescent="0.25">
      <c r="B29" s="79">
        <f>IF('3_Lehrmaterial'!B30="","",'3_Lehrmaterial'!B30)</f>
        <v>20</v>
      </c>
      <c r="C29" s="82">
        <f>'2_Studienverlaufsplan'!H29</f>
        <v>2.5</v>
      </c>
      <c r="D29" s="367">
        <f>C29*Vergütung_SWS/Semester*IF(AND('3_Lehrmaterial'!C30="ja",'3_Lehrmaterial'!E30="x"),100%,IF(AND('3_Lehrmaterial'!C30="ja",'3_Lehrmaterial'!F30="x",'3_Lehrmaterial'!G30&lt;&gt;""),('3_Lehrmaterial'!G30/100),IF(OR('3_Lehrmaterial'!C30&lt;&gt;"ja",'3_Lehrmaterial'!C30=""),"0,00")))</f>
        <v>913.06</v>
      </c>
      <c r="E29" s="367">
        <f>IF('3_Lehrmaterial'!C30="ja",Druck_pauschal*Anzahl_Stud,"0,00")</f>
        <v>166</v>
      </c>
      <c r="F29" s="368">
        <f t="shared" si="0"/>
        <v>1079.06</v>
      </c>
    </row>
    <row r="30" spans="2:6" ht="15.75" thickBot="1" x14ac:dyDescent="0.3">
      <c r="B30" s="80" t="s">
        <v>9</v>
      </c>
      <c r="C30" s="105">
        <f>SUM(C10:C29)</f>
        <v>52</v>
      </c>
      <c r="D30" s="369">
        <f>SUM(D10:D29)</f>
        <v>13367.16</v>
      </c>
      <c r="E30" s="369">
        <f>SUM(E10:E29)</f>
        <v>2988</v>
      </c>
      <c r="F30" s="370">
        <f>SUM(F10:F29)</f>
        <v>16355.16</v>
      </c>
    </row>
  </sheetData>
  <sheetProtection password="C2D2" sheet="1" objects="1" scenarios="1"/>
  <mergeCells count="1">
    <mergeCell ref="C2:E2"/>
  </mergeCells>
  <pageMargins left="0.7" right="0.7" top="0.78740157499999996" bottom="0.78740157499999996" header="0.3" footer="0.3"/>
  <pageSetup paperSize="9" scale="88" orientation="landscape" r:id="rId1"/>
  <headerFooter>
    <oddHeader>&amp;R&amp;7 3.1_Nebenberechnung_Studienbriefe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2:Q49"/>
  <sheetViews>
    <sheetView showGridLines="0" zoomScale="115" zoomScaleNormal="115" workbookViewId="0">
      <selection activeCell="G55" sqref="G55"/>
    </sheetView>
  </sheetViews>
  <sheetFormatPr baseColWidth="10" defaultColWidth="10.85546875" defaultRowHeight="12.75" x14ac:dyDescent="0.2"/>
  <cols>
    <col min="1" max="1" width="8.7109375" style="34" customWidth="1"/>
    <col min="2" max="2" width="31.140625" style="34" customWidth="1"/>
    <col min="3" max="3" width="10" style="34" customWidth="1"/>
    <col min="4" max="4" width="12.140625" style="34" customWidth="1"/>
    <col min="5" max="5" width="8.7109375" style="34" customWidth="1"/>
    <col min="6" max="6" width="20.85546875" style="34" customWidth="1"/>
    <col min="7" max="7" width="18.28515625" style="34" customWidth="1"/>
    <col min="8" max="8" width="15.28515625" style="34" customWidth="1"/>
    <col min="9" max="9" width="17.7109375" style="34" customWidth="1"/>
    <col min="10" max="10" width="16.42578125" style="34" customWidth="1"/>
    <col min="11" max="11" width="11.42578125" style="34" customWidth="1"/>
    <col min="12" max="12" width="3.28515625" style="34" customWidth="1"/>
    <col min="13" max="13" width="28.140625" style="34" customWidth="1"/>
    <col min="14" max="14" width="12.5703125" style="34" customWidth="1"/>
    <col min="15" max="15" width="10.7109375" style="34" customWidth="1"/>
    <col min="16" max="16" width="6.140625" style="34" customWidth="1"/>
    <col min="17" max="17" width="6.42578125" style="34" customWidth="1"/>
    <col min="18" max="18" width="3.5703125" style="34" customWidth="1"/>
    <col min="19" max="19" width="15.28515625" style="34" customWidth="1"/>
    <col min="20" max="20" width="10.5703125" style="34" customWidth="1"/>
    <col min="21" max="21" width="3.42578125" style="34" customWidth="1"/>
    <col min="22" max="22" width="10.85546875" style="34"/>
    <col min="23" max="23" width="10.5703125" style="34" customWidth="1"/>
    <col min="24" max="24" width="2" style="34" customWidth="1"/>
    <col min="25" max="25" width="10.85546875" style="34"/>
    <col min="26" max="26" width="11.140625" style="34" customWidth="1"/>
    <col min="27" max="27" width="2.42578125" style="34" customWidth="1"/>
    <col min="28" max="28" width="10.85546875" style="34"/>
    <col min="29" max="29" width="11" style="34" customWidth="1"/>
    <col min="30" max="16384" width="10.85546875" style="34"/>
  </cols>
  <sheetData>
    <row r="2" spans="1:17" ht="13.5" thickBot="1" x14ac:dyDescent="0.25">
      <c r="M2" s="11" t="s">
        <v>194</v>
      </c>
      <c r="N2" s="25">
        <f>Stand_Datum</f>
        <v>43564</v>
      </c>
      <c r="O2" s="300" t="s">
        <v>105</v>
      </c>
      <c r="Q2" s="411"/>
    </row>
    <row r="3" spans="1:17" ht="15.75" customHeight="1" thickBot="1" x14ac:dyDescent="0.25">
      <c r="F3" s="484" t="str">
        <f>Studiengangsbezeichnung</f>
        <v>Musterstudiengang</v>
      </c>
      <c r="G3" s="485"/>
      <c r="H3" s="485"/>
      <c r="I3" s="486"/>
      <c r="J3" s="412"/>
      <c r="O3" s="301" t="s">
        <v>106</v>
      </c>
      <c r="Q3" s="26"/>
    </row>
    <row r="4" spans="1:17" ht="15.75" customHeight="1" x14ac:dyDescent="0.2">
      <c r="B4" s="47"/>
      <c r="C4" s="27"/>
      <c r="D4" s="27"/>
      <c r="E4" s="27"/>
      <c r="F4" s="27"/>
      <c r="G4" s="27"/>
      <c r="H4" s="27"/>
      <c r="I4" s="27"/>
      <c r="J4" s="27"/>
    </row>
    <row r="5" spans="1:17" x14ac:dyDescent="0.2">
      <c r="B5" s="47"/>
      <c r="C5" s="27"/>
      <c r="D5" s="27"/>
      <c r="E5" s="27"/>
      <c r="F5" s="27"/>
      <c r="G5" s="27"/>
      <c r="H5" s="27"/>
      <c r="I5" s="27"/>
      <c r="J5" s="27"/>
      <c r="K5" s="27"/>
      <c r="M5" s="40"/>
    </row>
    <row r="6" spans="1:17" x14ac:dyDescent="0.2">
      <c r="B6" s="4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40"/>
    </row>
    <row r="7" spans="1:17" x14ac:dyDescent="0.2">
      <c r="B7" s="47"/>
      <c r="C7" s="41"/>
      <c r="D7" s="47"/>
      <c r="E7" s="27"/>
      <c r="F7" s="27"/>
      <c r="G7" s="27"/>
      <c r="H7" s="27"/>
      <c r="I7" s="27"/>
      <c r="J7" s="27"/>
      <c r="K7" s="27"/>
      <c r="L7" s="27"/>
      <c r="O7" s="151"/>
    </row>
    <row r="8" spans="1:17" x14ac:dyDescent="0.2">
      <c r="B8" s="33"/>
      <c r="C8" s="41"/>
      <c r="D8" s="47"/>
      <c r="E8" s="27"/>
      <c r="F8" s="27"/>
      <c r="G8" s="27"/>
      <c r="H8" s="27"/>
      <c r="I8" s="27"/>
      <c r="J8" s="27"/>
      <c r="K8" s="27"/>
      <c r="L8" s="27"/>
      <c r="O8" s="151"/>
    </row>
    <row r="9" spans="1:17" x14ac:dyDescent="0.2">
      <c r="B9" s="33" t="s">
        <v>108</v>
      </c>
      <c r="C9" s="41"/>
      <c r="D9" s="47"/>
      <c r="E9" s="27"/>
      <c r="F9" s="27"/>
      <c r="G9" s="27"/>
      <c r="H9" s="27"/>
      <c r="I9" s="27"/>
      <c r="J9" s="27"/>
      <c r="K9" s="27"/>
      <c r="L9" s="27"/>
      <c r="O9" s="48"/>
    </row>
    <row r="10" spans="1:17" ht="15.75" customHeight="1" x14ac:dyDescent="0.2">
      <c r="B10" s="47"/>
      <c r="C10" s="41"/>
      <c r="D10" s="47"/>
      <c r="E10" s="27"/>
      <c r="F10" s="27"/>
      <c r="G10" s="27"/>
      <c r="H10" s="27"/>
      <c r="I10" s="27"/>
      <c r="J10" s="27"/>
      <c r="K10" s="27"/>
      <c r="L10" s="26"/>
      <c r="O10" s="46"/>
      <c r="P10" s="26"/>
    </row>
    <row r="11" spans="1:17" ht="17.25" customHeight="1" thickBot="1" x14ac:dyDescent="0.25">
      <c r="A11" s="26"/>
      <c r="B11" s="233" t="s">
        <v>109</v>
      </c>
      <c r="C11" s="234"/>
      <c r="D11" s="226"/>
      <c r="E11" s="26"/>
      <c r="F11" s="26"/>
      <c r="G11" s="26"/>
      <c r="H11" s="26"/>
      <c r="I11" s="26"/>
      <c r="J11" s="26"/>
      <c r="K11" s="26"/>
      <c r="L11" s="26"/>
      <c r="O11" s="46"/>
      <c r="P11" s="26"/>
    </row>
    <row r="12" spans="1:17" ht="15" customHeight="1" x14ac:dyDescent="0.2">
      <c r="A12" s="26"/>
      <c r="B12" s="489" t="s">
        <v>57</v>
      </c>
      <c r="C12" s="491" t="s">
        <v>112</v>
      </c>
      <c r="D12" s="491" t="s">
        <v>111</v>
      </c>
      <c r="E12" s="487" t="s">
        <v>110</v>
      </c>
      <c r="F12" s="487" t="s">
        <v>177</v>
      </c>
      <c r="G12" s="487" t="s">
        <v>176</v>
      </c>
      <c r="H12" s="154" t="s">
        <v>113</v>
      </c>
      <c r="I12" s="155"/>
      <c r="J12" s="155"/>
      <c r="K12" s="108"/>
      <c r="L12" s="26"/>
      <c r="M12" s="256" t="s">
        <v>136</v>
      </c>
      <c r="N12" s="309"/>
      <c r="O12" s="226"/>
      <c r="P12" s="26"/>
      <c r="Q12" s="27"/>
    </row>
    <row r="13" spans="1:17" ht="33.75" customHeight="1" x14ac:dyDescent="0.2">
      <c r="A13" s="26"/>
      <c r="B13" s="490"/>
      <c r="C13" s="492"/>
      <c r="D13" s="492"/>
      <c r="E13" s="488"/>
      <c r="F13" s="488"/>
      <c r="G13" s="488"/>
      <c r="H13" s="307" t="s">
        <v>165</v>
      </c>
      <c r="I13" s="307" t="s">
        <v>166</v>
      </c>
      <c r="J13" s="307" t="s">
        <v>167</v>
      </c>
      <c r="K13" s="308" t="s">
        <v>168</v>
      </c>
      <c r="L13" s="26"/>
      <c r="M13" s="243" t="s">
        <v>21</v>
      </c>
      <c r="N13" s="244">
        <f>Dauer_Studium</f>
        <v>5</v>
      </c>
      <c r="O13" s="26"/>
      <c r="P13" s="26"/>
    </row>
    <row r="14" spans="1:17" x14ac:dyDescent="0.2">
      <c r="A14" s="26"/>
      <c r="B14" s="161" t="str">
        <f>IF('2_Studienverlaufsplan'!B10&lt;&gt;"",'2_Studienverlaufsplan'!B10,"")</f>
        <v>1 Mathematik</v>
      </c>
      <c r="C14" s="82">
        <f>SUM(IF('2_Studienverlaufsplan'!E10&lt;&gt;"",'2_Studienverlaufsplan'!E10*0.5,"0"),IF('2_Studienverlaufsplan'!F10&lt;&gt;"",'2_Studienverlaufsplan'!F10,"0"),IF('2_Studienverlaufsplan'!G10&lt;&gt;"",'2_Studienverlaufsplan'!G10*0.5,"0"))</f>
        <v>1</v>
      </c>
      <c r="D14" s="37">
        <v>2</v>
      </c>
      <c r="E14" s="82">
        <f>C14*D14</f>
        <v>2</v>
      </c>
      <c r="F14" s="82">
        <f>16*C14</f>
        <v>16</v>
      </c>
      <c r="G14" s="152">
        <f>E14*16</f>
        <v>32</v>
      </c>
      <c r="H14" s="37"/>
      <c r="I14" s="37"/>
      <c r="J14" s="37"/>
      <c r="K14" s="163"/>
      <c r="L14" s="26"/>
      <c r="M14" s="235" t="s">
        <v>88</v>
      </c>
      <c r="N14" s="238">
        <f>Aufnahmekapazität</f>
        <v>50</v>
      </c>
      <c r="O14" s="226"/>
      <c r="P14" s="26"/>
    </row>
    <row r="15" spans="1:17" x14ac:dyDescent="0.2">
      <c r="A15" s="26"/>
      <c r="B15" s="161" t="str">
        <f>IF('2_Studienverlaufsplan'!B11&lt;&gt;"",'2_Studienverlaufsplan'!B11,"")</f>
        <v>2 Mechanik</v>
      </c>
      <c r="C15" s="82">
        <f>SUM(IF('2_Studienverlaufsplan'!E11&lt;&gt;"",'2_Studienverlaufsplan'!E11*0.5,"0"),IF('2_Studienverlaufsplan'!F11&lt;&gt;"",'2_Studienverlaufsplan'!F11,"0"),IF('2_Studienverlaufsplan'!G11&lt;&gt;"",'2_Studienverlaufsplan'!G11*0.5,"0"))</f>
        <v>1</v>
      </c>
      <c r="D15" s="37">
        <v>2</v>
      </c>
      <c r="E15" s="82">
        <f t="shared" ref="E15:E33" si="0">C15*D15</f>
        <v>2</v>
      </c>
      <c r="F15" s="82">
        <f t="shared" ref="F15:F32" si="1">16*C15</f>
        <v>16</v>
      </c>
      <c r="G15" s="152">
        <f t="shared" ref="G15:G33" si="2">E15*16</f>
        <v>32</v>
      </c>
      <c r="H15" s="37"/>
      <c r="I15" s="37"/>
      <c r="J15" s="37"/>
      <c r="K15" s="163"/>
      <c r="L15" s="26"/>
      <c r="M15" s="236" t="s">
        <v>40</v>
      </c>
      <c r="N15" s="355">
        <f>SUM(N43:N47)</f>
        <v>68200</v>
      </c>
      <c r="O15" s="226"/>
      <c r="P15" s="26"/>
    </row>
    <row r="16" spans="1:17" ht="13.5" thickBot="1" x14ac:dyDescent="0.25">
      <c r="A16" s="26"/>
      <c r="B16" s="161" t="str">
        <f>IF('2_Studienverlaufsplan'!B12&lt;&gt;"",'2_Studienverlaufsplan'!B12,"")</f>
        <v>3 Konstruktionstechnik</v>
      </c>
      <c r="C16" s="82">
        <f>SUM(IF('2_Studienverlaufsplan'!E12&lt;&gt;"",'2_Studienverlaufsplan'!E12*0.5,"0"),IF('2_Studienverlaufsplan'!F12&lt;&gt;"",'2_Studienverlaufsplan'!F12,"0"),IF('2_Studienverlaufsplan'!G12&lt;&gt;"",'2_Studienverlaufsplan'!G12*0.5,"0"))</f>
        <v>0.5</v>
      </c>
      <c r="D16" s="37">
        <v>2</v>
      </c>
      <c r="E16" s="82">
        <f t="shared" si="0"/>
        <v>1</v>
      </c>
      <c r="F16" s="82">
        <f>16*C16</f>
        <v>8</v>
      </c>
      <c r="G16" s="152">
        <f>E16*16</f>
        <v>16</v>
      </c>
      <c r="H16" s="37"/>
      <c r="I16" s="37"/>
      <c r="J16" s="37"/>
      <c r="K16" s="163"/>
      <c r="L16" s="26"/>
      <c r="M16" s="237" t="s">
        <v>42</v>
      </c>
      <c r="N16" s="371">
        <f>N15/N14/Dauer_Studium</f>
        <v>272.8</v>
      </c>
      <c r="O16" s="226"/>
      <c r="P16" s="27"/>
    </row>
    <row r="17" spans="1:16" x14ac:dyDescent="0.2">
      <c r="A17" s="26"/>
      <c r="B17" s="161" t="str">
        <f>IF('2_Studienverlaufsplan'!B13&lt;&gt;"",'2_Studienverlaufsplan'!B13,"")</f>
        <v>4 Einführung in die Programmierung</v>
      </c>
      <c r="C17" s="82">
        <f>SUM(IF('2_Studienverlaufsplan'!E13&lt;&gt;"",'2_Studienverlaufsplan'!E13*0.5,"0"),IF('2_Studienverlaufsplan'!F13&lt;&gt;"",'2_Studienverlaufsplan'!F13,"0"),IF('2_Studienverlaufsplan'!G13&lt;&gt;"",'2_Studienverlaufsplan'!G13*0.5,"0"))</f>
        <v>2</v>
      </c>
      <c r="D17" s="37">
        <v>2</v>
      </c>
      <c r="E17" s="82">
        <f t="shared" si="0"/>
        <v>4</v>
      </c>
      <c r="F17" s="82">
        <f t="shared" si="1"/>
        <v>32</v>
      </c>
      <c r="G17" s="152">
        <f t="shared" si="2"/>
        <v>64</v>
      </c>
      <c r="H17" s="37"/>
      <c r="I17" s="37"/>
      <c r="J17" s="37"/>
      <c r="K17" s="163">
        <v>32</v>
      </c>
      <c r="L17" s="26"/>
      <c r="M17" s="27"/>
      <c r="N17" s="27"/>
      <c r="O17" s="47"/>
      <c r="P17" s="27"/>
    </row>
    <row r="18" spans="1:16" x14ac:dyDescent="0.2">
      <c r="A18" s="26"/>
      <c r="B18" s="161" t="str">
        <f>IF('2_Studienverlaufsplan'!B14&lt;&gt;"",'2_Studienverlaufsplan'!B14,"")</f>
        <v>5 Werkstoffkunde</v>
      </c>
      <c r="C18" s="82">
        <f>SUM(IF('2_Studienverlaufsplan'!E14&lt;&gt;"",'2_Studienverlaufsplan'!E14*0.5,"0"),IF('2_Studienverlaufsplan'!F14&lt;&gt;"",'2_Studienverlaufsplan'!F14,"0"),IF('2_Studienverlaufsplan'!G14&lt;&gt;"",'2_Studienverlaufsplan'!G14*0.5,"0"))</f>
        <v>2</v>
      </c>
      <c r="D18" s="37">
        <v>2</v>
      </c>
      <c r="E18" s="82">
        <f t="shared" si="0"/>
        <v>4</v>
      </c>
      <c r="F18" s="82">
        <f t="shared" si="1"/>
        <v>32</v>
      </c>
      <c r="G18" s="152">
        <f t="shared" si="2"/>
        <v>64</v>
      </c>
      <c r="H18" s="37"/>
      <c r="I18" s="37"/>
      <c r="J18" s="37"/>
      <c r="K18" s="163">
        <v>32</v>
      </c>
      <c r="L18" s="26"/>
      <c r="O18" s="47"/>
    </row>
    <row r="19" spans="1:16" x14ac:dyDescent="0.2">
      <c r="A19" s="26"/>
      <c r="B19" s="161" t="str">
        <f>IF('2_Studienverlaufsplan'!B15&lt;&gt;"",'2_Studienverlaufsplan'!B15,"")</f>
        <v>6</v>
      </c>
      <c r="C19" s="82">
        <f>SUM(IF('2_Studienverlaufsplan'!E15&lt;&gt;"",'2_Studienverlaufsplan'!E15*0.5,"0"),IF('2_Studienverlaufsplan'!F15&lt;&gt;"",'2_Studienverlaufsplan'!F15,"0"),IF('2_Studienverlaufsplan'!G15&lt;&gt;"",'2_Studienverlaufsplan'!G15*0.5,"0"))</f>
        <v>1</v>
      </c>
      <c r="D19" s="37">
        <v>2</v>
      </c>
      <c r="E19" s="82">
        <f t="shared" si="0"/>
        <v>2</v>
      </c>
      <c r="F19" s="82">
        <f t="shared" si="1"/>
        <v>16</v>
      </c>
      <c r="G19" s="152">
        <f t="shared" si="2"/>
        <v>32</v>
      </c>
      <c r="H19" s="37">
        <v>8</v>
      </c>
      <c r="I19" s="37"/>
      <c r="J19" s="37"/>
      <c r="K19" s="163"/>
      <c r="L19" s="26"/>
      <c r="O19" s="27"/>
    </row>
    <row r="20" spans="1:16" x14ac:dyDescent="0.2">
      <c r="A20" s="26"/>
      <c r="B20" s="161">
        <f>IF('2_Studienverlaufsplan'!B16&lt;&gt;"",'2_Studienverlaufsplan'!B16,"")</f>
        <v>7</v>
      </c>
      <c r="C20" s="82">
        <f>SUM(IF('2_Studienverlaufsplan'!E16&lt;&gt;"",'2_Studienverlaufsplan'!E16*0.5,"0"),IF('2_Studienverlaufsplan'!F16&lt;&gt;"",'2_Studienverlaufsplan'!F16,"0"),IF('2_Studienverlaufsplan'!G16&lt;&gt;"",'2_Studienverlaufsplan'!G16*0.5,"0"))</f>
        <v>1</v>
      </c>
      <c r="D20" s="37">
        <v>2</v>
      </c>
      <c r="E20" s="82">
        <f t="shared" si="0"/>
        <v>2</v>
      </c>
      <c r="F20" s="82">
        <f t="shared" si="1"/>
        <v>16</v>
      </c>
      <c r="G20" s="152">
        <f t="shared" si="2"/>
        <v>32</v>
      </c>
      <c r="H20" s="37"/>
      <c r="I20" s="37"/>
      <c r="J20" s="37"/>
      <c r="K20" s="163"/>
      <c r="L20" s="26"/>
      <c r="M20" s="27"/>
      <c r="N20" s="27"/>
      <c r="O20" s="27"/>
      <c r="P20" s="27"/>
    </row>
    <row r="21" spans="1:16" x14ac:dyDescent="0.2">
      <c r="A21" s="26"/>
      <c r="B21" s="161">
        <f>IF('2_Studienverlaufsplan'!B17&lt;&gt;"",'2_Studienverlaufsplan'!B17,"")</f>
        <v>8</v>
      </c>
      <c r="C21" s="82">
        <f>SUM(IF('2_Studienverlaufsplan'!E17&lt;&gt;"",'2_Studienverlaufsplan'!E17*0.5,"0"),IF('2_Studienverlaufsplan'!F17&lt;&gt;"",'2_Studienverlaufsplan'!F17,"0"),IF('2_Studienverlaufsplan'!G17&lt;&gt;"",'2_Studienverlaufsplan'!G17*0.5,"0"))</f>
        <v>0.5</v>
      </c>
      <c r="D21" s="37">
        <v>2</v>
      </c>
      <c r="E21" s="82">
        <f t="shared" si="0"/>
        <v>1</v>
      </c>
      <c r="F21" s="82">
        <f t="shared" si="1"/>
        <v>8</v>
      </c>
      <c r="G21" s="152">
        <f t="shared" si="2"/>
        <v>16</v>
      </c>
      <c r="H21" s="37"/>
      <c r="I21" s="37"/>
      <c r="J21" s="37"/>
      <c r="K21" s="163"/>
      <c r="L21" s="26"/>
      <c r="O21" s="26"/>
      <c r="P21" s="26"/>
    </row>
    <row r="22" spans="1:16" x14ac:dyDescent="0.2">
      <c r="A22" s="26"/>
      <c r="B22" s="161">
        <f>IF('2_Studienverlaufsplan'!B18&lt;&gt;"",'2_Studienverlaufsplan'!B18,"")</f>
        <v>9</v>
      </c>
      <c r="C22" s="82">
        <f>SUM(IF('2_Studienverlaufsplan'!E18&lt;&gt;"",'2_Studienverlaufsplan'!E18*0.5,"0"),IF('2_Studienverlaufsplan'!F18&lt;&gt;"",'2_Studienverlaufsplan'!F18,"0"),IF('2_Studienverlaufsplan'!G18&lt;&gt;"",'2_Studienverlaufsplan'!G18*0.5,"0"))</f>
        <v>2</v>
      </c>
      <c r="D22" s="37">
        <v>2</v>
      </c>
      <c r="E22" s="82">
        <f t="shared" si="0"/>
        <v>4</v>
      </c>
      <c r="F22" s="82">
        <f t="shared" si="1"/>
        <v>32</v>
      </c>
      <c r="G22" s="152">
        <f t="shared" si="2"/>
        <v>64</v>
      </c>
      <c r="H22" s="37"/>
      <c r="I22" s="37"/>
      <c r="J22" s="37"/>
      <c r="K22" s="163">
        <v>32</v>
      </c>
      <c r="L22" s="26"/>
      <c r="O22" s="26"/>
      <c r="P22" s="26"/>
    </row>
    <row r="23" spans="1:16" x14ac:dyDescent="0.2">
      <c r="A23" s="26"/>
      <c r="B23" s="161">
        <f>IF('2_Studienverlaufsplan'!B19&lt;&gt;"",'2_Studienverlaufsplan'!B19,"")</f>
        <v>10</v>
      </c>
      <c r="C23" s="82">
        <f>SUM(IF('2_Studienverlaufsplan'!E19&lt;&gt;"",'2_Studienverlaufsplan'!E19*0.5,"0"),IF('2_Studienverlaufsplan'!F19&lt;&gt;"",'2_Studienverlaufsplan'!F19,"0"),IF('2_Studienverlaufsplan'!G19&lt;&gt;"",'2_Studienverlaufsplan'!G19*0.5,"0"))</f>
        <v>2</v>
      </c>
      <c r="D23" s="37">
        <v>2</v>
      </c>
      <c r="E23" s="82">
        <f t="shared" si="0"/>
        <v>4</v>
      </c>
      <c r="F23" s="82">
        <f t="shared" si="1"/>
        <v>32</v>
      </c>
      <c r="G23" s="152">
        <f t="shared" si="2"/>
        <v>64</v>
      </c>
      <c r="H23" s="37"/>
      <c r="I23" s="37"/>
      <c r="J23" s="37"/>
      <c r="K23" s="163">
        <v>32</v>
      </c>
      <c r="L23" s="26"/>
      <c r="O23" s="26"/>
      <c r="P23" s="26"/>
    </row>
    <row r="24" spans="1:16" x14ac:dyDescent="0.2">
      <c r="A24" s="26"/>
      <c r="B24" s="161">
        <f>IF('2_Studienverlaufsplan'!B20&lt;&gt;"",'2_Studienverlaufsplan'!B20,"")</f>
        <v>11</v>
      </c>
      <c r="C24" s="82">
        <f>SUM(IF('2_Studienverlaufsplan'!E20&lt;&gt;"",'2_Studienverlaufsplan'!E20*0.5,"0"),IF('2_Studienverlaufsplan'!F20&lt;&gt;"",'2_Studienverlaufsplan'!F20,"0"),IF('2_Studienverlaufsplan'!G20&lt;&gt;"",'2_Studienverlaufsplan'!G20*0.5,"0"))</f>
        <v>1</v>
      </c>
      <c r="D24" s="37">
        <v>2</v>
      </c>
      <c r="E24" s="82">
        <f t="shared" si="0"/>
        <v>2</v>
      </c>
      <c r="F24" s="82">
        <f t="shared" si="1"/>
        <v>16</v>
      </c>
      <c r="G24" s="152">
        <f t="shared" si="2"/>
        <v>32</v>
      </c>
      <c r="H24" s="37"/>
      <c r="I24" s="37"/>
      <c r="J24" s="37">
        <v>5</v>
      </c>
      <c r="K24" s="163"/>
      <c r="L24" s="26"/>
      <c r="O24" s="26"/>
      <c r="P24" s="26"/>
    </row>
    <row r="25" spans="1:16" x14ac:dyDescent="0.2">
      <c r="A25" s="26"/>
      <c r="B25" s="161">
        <f>IF('2_Studienverlaufsplan'!B21&lt;&gt;"",'2_Studienverlaufsplan'!B21,"")</f>
        <v>12</v>
      </c>
      <c r="C25" s="82">
        <f>SUM(IF('2_Studienverlaufsplan'!E21&lt;&gt;"",'2_Studienverlaufsplan'!E21*0.5,"0"),IF('2_Studienverlaufsplan'!F21&lt;&gt;"",'2_Studienverlaufsplan'!F21,"0"),IF('2_Studienverlaufsplan'!G21&lt;&gt;"",'2_Studienverlaufsplan'!G21*0.5,"0"))</f>
        <v>1</v>
      </c>
      <c r="D25" s="37">
        <v>2</v>
      </c>
      <c r="E25" s="82">
        <f t="shared" si="0"/>
        <v>2</v>
      </c>
      <c r="F25" s="82">
        <f t="shared" si="1"/>
        <v>16</v>
      </c>
      <c r="G25" s="152">
        <f t="shared" si="2"/>
        <v>32</v>
      </c>
      <c r="H25" s="37"/>
      <c r="I25" s="37"/>
      <c r="J25" s="37"/>
      <c r="K25" s="163"/>
      <c r="L25" s="26"/>
      <c r="O25" s="26"/>
      <c r="P25" s="26"/>
    </row>
    <row r="26" spans="1:16" x14ac:dyDescent="0.2">
      <c r="A26" s="26"/>
      <c r="B26" s="161">
        <f>IF('2_Studienverlaufsplan'!B22&lt;&gt;"",'2_Studienverlaufsplan'!B22,"")</f>
        <v>13</v>
      </c>
      <c r="C26" s="82">
        <f>SUM(IF('2_Studienverlaufsplan'!E22&lt;&gt;"",'2_Studienverlaufsplan'!E22*0.5,"0"),IF('2_Studienverlaufsplan'!F22&lt;&gt;"",'2_Studienverlaufsplan'!F22,"0"),IF('2_Studienverlaufsplan'!G22&lt;&gt;"",'2_Studienverlaufsplan'!G22*0.5,"0"))</f>
        <v>0.5</v>
      </c>
      <c r="D26" s="37">
        <v>2</v>
      </c>
      <c r="E26" s="82">
        <f t="shared" si="0"/>
        <v>1</v>
      </c>
      <c r="F26" s="82">
        <f t="shared" si="1"/>
        <v>8</v>
      </c>
      <c r="G26" s="152">
        <f t="shared" si="2"/>
        <v>16</v>
      </c>
      <c r="H26" s="37"/>
      <c r="I26" s="37"/>
      <c r="J26" s="37"/>
      <c r="K26" s="163"/>
      <c r="L26" s="26"/>
      <c r="O26" s="26"/>
      <c r="P26" s="26"/>
    </row>
    <row r="27" spans="1:16" x14ac:dyDescent="0.2">
      <c r="A27" s="26"/>
      <c r="B27" s="161">
        <f>IF('2_Studienverlaufsplan'!B23&lt;&gt;"",'2_Studienverlaufsplan'!B23,"")</f>
        <v>14</v>
      </c>
      <c r="C27" s="82">
        <f>SUM(IF('2_Studienverlaufsplan'!E23&lt;&gt;"",'2_Studienverlaufsplan'!E23*0.5,"0"),IF('2_Studienverlaufsplan'!F23&lt;&gt;"",'2_Studienverlaufsplan'!F23,"0"),IF('2_Studienverlaufsplan'!G23&lt;&gt;"",'2_Studienverlaufsplan'!G23*0.5,"0"))</f>
        <v>2</v>
      </c>
      <c r="D27" s="37">
        <v>3</v>
      </c>
      <c r="E27" s="82">
        <f t="shared" si="0"/>
        <v>6</v>
      </c>
      <c r="F27" s="82">
        <f t="shared" si="1"/>
        <v>32</v>
      </c>
      <c r="G27" s="152">
        <f t="shared" si="2"/>
        <v>96</v>
      </c>
      <c r="H27" s="37"/>
      <c r="I27" s="37">
        <v>3</v>
      </c>
      <c r="J27" s="37"/>
      <c r="K27" s="163">
        <v>32</v>
      </c>
      <c r="L27" s="26"/>
      <c r="O27" s="26"/>
      <c r="P27" s="26"/>
    </row>
    <row r="28" spans="1:16" ht="13.5" thickBot="1" x14ac:dyDescent="0.25">
      <c r="A28" s="26"/>
      <c r="B28" s="161">
        <f>IF('2_Studienverlaufsplan'!B24&lt;&gt;"",'2_Studienverlaufsplan'!B24,"")</f>
        <v>15</v>
      </c>
      <c r="C28" s="82">
        <f>SUM(IF('2_Studienverlaufsplan'!E24&lt;&gt;"",'2_Studienverlaufsplan'!E24*0.5,"0"),IF('2_Studienverlaufsplan'!F24&lt;&gt;"",'2_Studienverlaufsplan'!F24,"0"),IF('2_Studienverlaufsplan'!G24&lt;&gt;"",'2_Studienverlaufsplan'!G24*0.5,"0"))</f>
        <v>2</v>
      </c>
      <c r="D28" s="37">
        <v>3</v>
      </c>
      <c r="E28" s="82">
        <f t="shared" si="0"/>
        <v>6</v>
      </c>
      <c r="F28" s="82">
        <f t="shared" si="1"/>
        <v>32</v>
      </c>
      <c r="G28" s="152">
        <f t="shared" si="2"/>
        <v>96</v>
      </c>
      <c r="H28" s="37"/>
      <c r="I28" s="37">
        <v>2</v>
      </c>
      <c r="J28" s="37"/>
      <c r="K28" s="163">
        <v>32</v>
      </c>
      <c r="L28" s="26"/>
      <c r="M28" s="226" t="s">
        <v>98</v>
      </c>
      <c r="N28" s="234"/>
      <c r="O28" s="26"/>
      <c r="P28" s="26"/>
    </row>
    <row r="29" spans="1:16" x14ac:dyDescent="0.2">
      <c r="A29" s="26"/>
      <c r="B29" s="161">
        <f>IF('2_Studienverlaufsplan'!B25&lt;&gt;"",'2_Studienverlaufsplan'!B25,"")</f>
        <v>16</v>
      </c>
      <c r="C29" s="82">
        <f>SUM(IF('2_Studienverlaufsplan'!E25&lt;&gt;"",'2_Studienverlaufsplan'!E25*0.5,"0"),IF('2_Studienverlaufsplan'!F25&lt;&gt;"",'2_Studienverlaufsplan'!F25,"0"),IF('2_Studienverlaufsplan'!G25&lt;&gt;"",'2_Studienverlaufsplan'!G25*0.5,"0"))</f>
        <v>1</v>
      </c>
      <c r="D29" s="37">
        <v>3</v>
      </c>
      <c r="E29" s="82">
        <f t="shared" si="0"/>
        <v>3</v>
      </c>
      <c r="F29" s="82">
        <f t="shared" si="1"/>
        <v>16</v>
      </c>
      <c r="G29" s="152">
        <f t="shared" si="2"/>
        <v>48</v>
      </c>
      <c r="H29" s="37"/>
      <c r="I29" s="37">
        <v>4</v>
      </c>
      <c r="J29" s="37"/>
      <c r="K29" s="163"/>
      <c r="L29" s="26"/>
      <c r="M29" s="310" t="s">
        <v>114</v>
      </c>
      <c r="N29" s="279" t="s">
        <v>216</v>
      </c>
      <c r="O29" s="26"/>
      <c r="P29" s="26"/>
    </row>
    <row r="30" spans="1:16" x14ac:dyDescent="0.2">
      <c r="A30" s="26"/>
      <c r="B30" s="161">
        <f>IF('2_Studienverlaufsplan'!B26&lt;&gt;"",'2_Studienverlaufsplan'!B26,"")</f>
        <v>17</v>
      </c>
      <c r="C30" s="82">
        <f>SUM(IF('2_Studienverlaufsplan'!E26&lt;&gt;"",'2_Studienverlaufsplan'!E26*0.5,"0"),IF('2_Studienverlaufsplan'!F26&lt;&gt;"",'2_Studienverlaufsplan'!F26,"0"),IF('2_Studienverlaufsplan'!G26&lt;&gt;"",'2_Studienverlaufsplan'!G26*0.5,"0"))</f>
        <v>0.5</v>
      </c>
      <c r="D30" s="37">
        <v>4</v>
      </c>
      <c r="E30" s="82">
        <f t="shared" si="0"/>
        <v>2</v>
      </c>
      <c r="F30" s="82">
        <f t="shared" si="1"/>
        <v>8</v>
      </c>
      <c r="G30" s="152">
        <f t="shared" si="2"/>
        <v>32</v>
      </c>
      <c r="H30" s="37"/>
      <c r="I30" s="37"/>
      <c r="J30" s="37"/>
      <c r="K30" s="163"/>
      <c r="L30" s="26"/>
      <c r="M30" s="111" t="str">
        <f>G12</f>
        <v xml:space="preserve">Durchführung Präsenzveranstaltung </v>
      </c>
      <c r="N30" s="222">
        <v>70</v>
      </c>
      <c r="O30" s="44"/>
      <c r="P30" s="44"/>
    </row>
    <row r="31" spans="1:16" x14ac:dyDescent="0.2">
      <c r="A31" s="26"/>
      <c r="B31" s="161">
        <f>IF('2_Studienverlaufsplan'!B27&lt;&gt;"",'2_Studienverlaufsplan'!B27,"")</f>
        <v>18</v>
      </c>
      <c r="C31" s="82">
        <f>SUM(IF('2_Studienverlaufsplan'!E27&lt;&gt;"",'2_Studienverlaufsplan'!E27*0.5,"0"),IF('2_Studienverlaufsplan'!F27&lt;&gt;"",'2_Studienverlaufsplan'!F27,"0"),IF('2_Studienverlaufsplan'!G27&lt;&gt;"",'2_Studienverlaufsplan'!G27*0.5,"0"))</f>
        <v>0.5</v>
      </c>
      <c r="D31" s="37">
        <v>4</v>
      </c>
      <c r="E31" s="82">
        <f t="shared" si="0"/>
        <v>2</v>
      </c>
      <c r="F31" s="82">
        <f t="shared" si="1"/>
        <v>8</v>
      </c>
      <c r="G31" s="152">
        <f t="shared" si="2"/>
        <v>32</v>
      </c>
      <c r="H31" s="37"/>
      <c r="I31" s="37"/>
      <c r="J31" s="37"/>
      <c r="K31" s="163"/>
      <c r="L31" s="26"/>
      <c r="M31" s="111" t="str">
        <f>H13</f>
        <v>Chatveranstaltung</v>
      </c>
      <c r="N31" s="222">
        <v>50</v>
      </c>
    </row>
    <row r="32" spans="1:16" x14ac:dyDescent="0.2">
      <c r="A32" s="26"/>
      <c r="B32" s="161">
        <f>IF('2_Studienverlaufsplan'!B28&lt;&gt;"",'2_Studienverlaufsplan'!B28,"")</f>
        <v>19</v>
      </c>
      <c r="C32" s="82">
        <f>SUM(IF('2_Studienverlaufsplan'!E28&lt;&gt;"",'2_Studienverlaufsplan'!E28*0.5,"0"),IF('2_Studienverlaufsplan'!F28&lt;&gt;"",'2_Studienverlaufsplan'!F28,"0"),IF('2_Studienverlaufsplan'!G28&lt;&gt;"",'2_Studienverlaufsplan'!G28*0.5,"0"))</f>
        <v>0.5</v>
      </c>
      <c r="D32" s="37">
        <v>4</v>
      </c>
      <c r="E32" s="82">
        <f t="shared" si="0"/>
        <v>2</v>
      </c>
      <c r="F32" s="82">
        <f t="shared" si="1"/>
        <v>8</v>
      </c>
      <c r="G32" s="152">
        <f t="shared" si="2"/>
        <v>32</v>
      </c>
      <c r="H32" s="37"/>
      <c r="I32" s="37"/>
      <c r="J32" s="37"/>
      <c r="K32" s="163"/>
      <c r="L32" s="26"/>
      <c r="M32" s="111" t="str">
        <f>I13</f>
        <v>zusätzl. Präsenzveranstaltung</v>
      </c>
      <c r="N32" s="222">
        <v>50</v>
      </c>
    </row>
    <row r="33" spans="1:15" x14ac:dyDescent="0.2">
      <c r="A33" s="26"/>
      <c r="B33" s="161">
        <f>IF('2_Studienverlaufsplan'!B29&lt;&gt;"",'2_Studienverlaufsplan'!B29,"")</f>
        <v>20</v>
      </c>
      <c r="C33" s="82">
        <f>SUM(IF('2_Studienverlaufsplan'!E29&lt;&gt;"",'2_Studienverlaufsplan'!E29*0.5,"0"),IF('2_Studienverlaufsplan'!F29&lt;&gt;"",'2_Studienverlaufsplan'!F29,"0"),IF('2_Studienverlaufsplan'!G29&lt;&gt;"",'2_Studienverlaufsplan'!G29*0.5,"0"))</f>
        <v>0.5</v>
      </c>
      <c r="D33" s="37">
        <v>4</v>
      </c>
      <c r="E33" s="82">
        <f t="shared" si="0"/>
        <v>2</v>
      </c>
      <c r="F33" s="82">
        <f>16*C33</f>
        <v>8</v>
      </c>
      <c r="G33" s="152">
        <f t="shared" si="2"/>
        <v>32</v>
      </c>
      <c r="H33" s="37"/>
      <c r="I33" s="37"/>
      <c r="J33" s="37"/>
      <c r="K33" s="163"/>
      <c r="L33" s="26"/>
      <c r="M33" s="111" t="str">
        <f>J13</f>
        <v>zusätzl. Mitarbeitereinsatz</v>
      </c>
      <c r="N33" s="222">
        <v>30</v>
      </c>
    </row>
    <row r="34" spans="1:15" ht="13.5" thickBot="1" x14ac:dyDescent="0.25">
      <c r="A34" s="26"/>
      <c r="B34" s="92" t="s">
        <v>9</v>
      </c>
      <c r="C34" s="105">
        <f t="shared" ref="C34:K34" si="3">SUM(C14:C33)</f>
        <v>22.5</v>
      </c>
      <c r="D34" s="105">
        <f t="shared" si="3"/>
        <v>51</v>
      </c>
      <c r="E34" s="105">
        <f t="shared" si="3"/>
        <v>54</v>
      </c>
      <c r="F34" s="105">
        <f t="shared" si="3"/>
        <v>360</v>
      </c>
      <c r="G34" s="105">
        <f t="shared" si="3"/>
        <v>864</v>
      </c>
      <c r="H34" s="105">
        <f t="shared" si="3"/>
        <v>8</v>
      </c>
      <c r="I34" s="105">
        <f t="shared" si="3"/>
        <v>9</v>
      </c>
      <c r="J34" s="105">
        <f t="shared" si="3"/>
        <v>5</v>
      </c>
      <c r="K34" s="162">
        <f t="shared" si="3"/>
        <v>192</v>
      </c>
      <c r="L34" s="26"/>
      <c r="M34" s="311" t="str">
        <f>K13</f>
        <v>Tutorien</v>
      </c>
      <c r="N34" s="223">
        <v>35</v>
      </c>
    </row>
    <row r="35" spans="1:15" x14ac:dyDescent="0.2">
      <c r="A35" s="26"/>
      <c r="B35" s="226"/>
      <c r="C35" s="226"/>
      <c r="D35" s="26"/>
      <c r="E35" s="26"/>
      <c r="F35" s="26"/>
      <c r="G35" s="26"/>
      <c r="H35" s="26"/>
      <c r="I35" s="26"/>
      <c r="J35" s="26"/>
      <c r="K35" s="26"/>
      <c r="L35" s="26"/>
      <c r="M35" s="27"/>
      <c r="N35" s="151"/>
    </row>
    <row r="36" spans="1:15" x14ac:dyDescent="0.2">
      <c r="A36" s="26"/>
      <c r="B36" s="226"/>
      <c r="C36" s="226"/>
      <c r="D36" s="26"/>
      <c r="E36" s="26"/>
      <c r="F36" s="26"/>
      <c r="G36" s="26"/>
      <c r="H36" s="26"/>
      <c r="I36" s="26"/>
      <c r="J36" s="26"/>
      <c r="K36" s="26"/>
      <c r="L36" s="26"/>
      <c r="M36" s="27"/>
      <c r="N36" s="151"/>
    </row>
    <row r="37" spans="1:15" x14ac:dyDescent="0.2">
      <c r="A37" s="26"/>
      <c r="B37" s="226"/>
      <c r="C37" s="226"/>
      <c r="D37" s="26"/>
      <c r="E37" s="26"/>
      <c r="F37" s="26"/>
      <c r="G37" s="26"/>
      <c r="H37" s="26"/>
      <c r="I37" s="26"/>
      <c r="J37" s="26"/>
      <c r="K37" s="26"/>
      <c r="L37" s="26"/>
      <c r="M37" s="27"/>
      <c r="N37" s="151"/>
    </row>
    <row r="38" spans="1:15" x14ac:dyDescent="0.2">
      <c r="A38" s="26"/>
      <c r="B38" s="226"/>
      <c r="C38" s="226"/>
      <c r="D38" s="26"/>
      <c r="E38" s="26"/>
      <c r="F38" s="26"/>
      <c r="G38" s="26"/>
      <c r="H38" s="26"/>
      <c r="I38" s="26"/>
      <c r="J38" s="26"/>
      <c r="K38" s="26"/>
      <c r="L38" s="26"/>
      <c r="M38" s="27"/>
      <c r="N38" s="151"/>
    </row>
    <row r="39" spans="1:15" x14ac:dyDescent="0.2">
      <c r="A39" s="26"/>
      <c r="B39" s="226"/>
      <c r="C39" s="226"/>
      <c r="D39" s="26"/>
      <c r="E39" s="26"/>
      <c r="F39" s="26"/>
      <c r="G39" s="26"/>
      <c r="H39" s="26"/>
      <c r="I39" s="26"/>
      <c r="J39" s="26"/>
      <c r="K39" s="26"/>
      <c r="L39" s="26"/>
      <c r="M39" s="27"/>
      <c r="N39" s="151"/>
    </row>
    <row r="40" spans="1:15" x14ac:dyDescent="0.2">
      <c r="B40" s="57"/>
      <c r="C40" s="226"/>
      <c r="D40" s="26"/>
      <c r="E40" s="26"/>
      <c r="F40" s="26"/>
      <c r="G40" s="26"/>
      <c r="H40" s="26"/>
      <c r="I40" s="26"/>
      <c r="J40" s="26"/>
      <c r="K40" s="26"/>
      <c r="L40" s="26"/>
      <c r="M40" s="27"/>
      <c r="N40" s="151"/>
    </row>
    <row r="41" spans="1:15" hidden="1" x14ac:dyDescent="0.2">
      <c r="B41" s="26"/>
      <c r="C41" s="226"/>
      <c r="D41" s="226"/>
      <c r="E41" s="26"/>
      <c r="F41" s="26"/>
      <c r="G41" s="26"/>
      <c r="H41" s="26"/>
      <c r="I41" s="26"/>
      <c r="J41" s="26"/>
      <c r="K41" s="26"/>
      <c r="L41" s="27"/>
      <c r="M41" s="249" t="s">
        <v>144</v>
      </c>
      <c r="N41" s="249"/>
      <c r="O41" s="151"/>
    </row>
    <row r="42" spans="1:15" hidden="1" x14ac:dyDescent="0.2"/>
    <row r="43" spans="1:15" hidden="1" x14ac:dyDescent="0.2">
      <c r="M43" s="160" t="str">
        <f>G12</f>
        <v xml:space="preserve">Durchführung Präsenzveranstaltung </v>
      </c>
      <c r="N43" s="183">
        <f>Summe_Präsenz</f>
        <v>60480</v>
      </c>
    </row>
    <row r="44" spans="1:15" hidden="1" x14ac:dyDescent="0.2">
      <c r="M44" s="160" t="str">
        <f>H13</f>
        <v>Chatveranstaltung</v>
      </c>
      <c r="N44" s="183">
        <f>Summe_Präsenz3</f>
        <v>400</v>
      </c>
    </row>
    <row r="45" spans="1:15" hidden="1" x14ac:dyDescent="0.2">
      <c r="M45" s="160" t="str">
        <f>I13</f>
        <v>zusätzl. Präsenzveranstaltung</v>
      </c>
      <c r="N45" s="183">
        <f>'4.1_Nebenberechnungen'!F30</f>
        <v>450</v>
      </c>
    </row>
    <row r="46" spans="1:15" hidden="1" x14ac:dyDescent="0.2">
      <c r="M46" s="160" t="str">
        <f>J13</f>
        <v>zusätzl. Mitarbeitereinsatz</v>
      </c>
      <c r="N46" s="183">
        <f>'4.1_Nebenberechnungen'!G30</f>
        <v>150</v>
      </c>
    </row>
    <row r="47" spans="1:15" hidden="1" x14ac:dyDescent="0.2">
      <c r="M47" s="160" t="str">
        <f>K13</f>
        <v>Tutorien</v>
      </c>
      <c r="N47" s="183">
        <f>Summe_Präsenz_Unterstützung</f>
        <v>6720</v>
      </c>
    </row>
    <row r="48" spans="1:15" hidden="1" x14ac:dyDescent="0.2"/>
    <row r="49" hidden="1" x14ac:dyDescent="0.2"/>
  </sheetData>
  <sheetProtection password="C2D2" sheet="1" objects="1" scenarios="1"/>
  <customSheetViews>
    <customSheetView guid="{2F462239-8624-472D-83C3-142E64AAE7D6}" scale="85" fitToPage="1" topLeftCell="H61">
      <selection activeCell="P88" sqref="P88"/>
      <pageMargins left="0.25" right="0.25" top="0.75" bottom="0.75" header="0.3" footer="0.3"/>
      <pageSetup paperSize="8" scale="43" fitToHeight="0" orientation="landscape" r:id="rId1"/>
      <headerFooter>
        <oddFooter>&amp;C&amp;8&amp;Z&amp;F</oddFooter>
      </headerFooter>
    </customSheetView>
  </customSheetViews>
  <mergeCells count="7">
    <mergeCell ref="F3:I3"/>
    <mergeCell ref="G12:G13"/>
    <mergeCell ref="E12:E13"/>
    <mergeCell ref="F12:F13"/>
    <mergeCell ref="B12:B13"/>
    <mergeCell ref="D12:D13"/>
    <mergeCell ref="C12:C13"/>
  </mergeCells>
  <pageMargins left="0.25" right="0.25" top="0.75" bottom="0.75" header="0.3" footer="0.3"/>
  <pageSetup paperSize="9" scale="63" orientation="landscape" r:id="rId2"/>
  <headerFooter>
    <oddHeader xml:space="preserve">&amp;R&amp;7 4_Präsenz
</oddHead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B1:V71"/>
  <sheetViews>
    <sheetView showGridLines="0" zoomScale="130" zoomScaleNormal="130" workbookViewId="0">
      <selection activeCell="F39" sqref="F39"/>
    </sheetView>
  </sheetViews>
  <sheetFormatPr baseColWidth="10" defaultRowHeight="15" x14ac:dyDescent="0.25"/>
  <cols>
    <col min="1" max="1" width="17.42578125" customWidth="1"/>
    <col min="2" max="2" width="31.28515625" customWidth="1"/>
    <col min="3" max="3" width="10.5703125" bestFit="1" customWidth="1"/>
    <col min="4" max="4" width="18.42578125" customWidth="1"/>
    <col min="5" max="5" width="18.5703125" customWidth="1"/>
    <col min="6" max="6" width="24.28515625" customWidth="1"/>
    <col min="7" max="7" width="21.85546875" customWidth="1"/>
    <col min="8" max="8" width="11.85546875" customWidth="1"/>
    <col min="9" max="9" width="9.7109375" customWidth="1"/>
    <col min="10" max="10" width="9.140625" customWidth="1"/>
    <col min="11" max="11" width="10.28515625" customWidth="1"/>
    <col min="12" max="12" width="4.140625" customWidth="1"/>
    <col min="13" max="13" width="12.28515625" customWidth="1"/>
    <col min="14" max="14" width="4" customWidth="1"/>
    <col min="15" max="15" width="3.85546875" customWidth="1"/>
    <col min="16" max="16" width="4.140625" customWidth="1"/>
    <col min="17" max="17" width="5.140625" customWidth="1"/>
    <col min="18" max="18" width="4.85546875" customWidth="1"/>
    <col min="19" max="19" width="5.5703125" customWidth="1"/>
  </cols>
  <sheetData>
    <row r="1" spans="2:20" ht="15.75" thickBot="1" x14ac:dyDescent="0.3"/>
    <row r="2" spans="2:20" ht="15.75" thickBot="1" x14ac:dyDescent="0.3">
      <c r="C2" s="481" t="str">
        <f>Studiengangsbezeichnung</f>
        <v>Musterstudiengang</v>
      </c>
      <c r="D2" s="482"/>
      <c r="E2" s="482"/>
      <c r="F2" s="483"/>
      <c r="H2" s="11" t="s">
        <v>194</v>
      </c>
      <c r="I2" s="25">
        <f>Stand_Datum</f>
        <v>43564</v>
      </c>
      <c r="J2" s="293" t="s">
        <v>105</v>
      </c>
      <c r="N2" s="190"/>
      <c r="O2" s="296"/>
    </row>
    <row r="8" spans="2:20" s="32" customFormat="1" ht="13.5" thickBot="1" x14ac:dyDescent="0.25">
      <c r="B8" s="226" t="s">
        <v>117</v>
      </c>
      <c r="C8" s="46"/>
      <c r="D8" s="26"/>
      <c r="E8" s="26"/>
      <c r="F8" s="26"/>
      <c r="G8" s="26"/>
      <c r="H8" s="26"/>
      <c r="K8" s="27"/>
      <c r="L8" s="27"/>
      <c r="M8" s="27"/>
      <c r="N8" s="27"/>
      <c r="O8" s="27"/>
      <c r="P8" s="27"/>
      <c r="Q8" s="27"/>
      <c r="R8" s="26"/>
      <c r="S8" s="26"/>
      <c r="T8" s="44"/>
    </row>
    <row r="9" spans="2:20" s="32" customFormat="1" ht="25.5" x14ac:dyDescent="0.2">
      <c r="B9" s="187" t="s">
        <v>13</v>
      </c>
      <c r="C9" s="188" t="s">
        <v>118</v>
      </c>
      <c r="D9" s="188" t="str">
        <f>'4_Präsenz'!G12</f>
        <v xml:space="preserve">Durchführung Präsenzveranstaltung </v>
      </c>
      <c r="E9" s="188" t="str">
        <f>'4_Präsenz'!M31</f>
        <v>Chatveranstaltung</v>
      </c>
      <c r="F9" s="186" t="str">
        <f>'4_Präsenz'!I13</f>
        <v>zusätzl. Präsenzveranstaltung</v>
      </c>
      <c r="G9" s="186" t="str">
        <f>'4_Präsenz'!J13</f>
        <v>zusätzl. Mitarbeitereinsatz</v>
      </c>
      <c r="H9" s="229" t="str">
        <f>'4_Präsenz'!M34</f>
        <v>Tutorien</v>
      </c>
    </row>
    <row r="10" spans="2:20" s="32" customFormat="1" ht="12.75" x14ac:dyDescent="0.2">
      <c r="B10" s="79" t="str">
        <f>IF('3_Lehrmaterial'!B11="","",'3_Lehrmaterial'!B11)</f>
        <v>1 Mathematik</v>
      </c>
      <c r="C10" s="152">
        <f>'4_Präsenz'!D14</f>
        <v>2</v>
      </c>
      <c r="D10" s="372">
        <f>IF(AND(B50&lt;&gt;"",C50&lt;&gt;""),B50*C50,"")</f>
        <v>2240</v>
      </c>
      <c r="E10" s="373" t="str">
        <f t="shared" ref="E10:E29" si="0">IF(AND(E50&lt;&gt;"",F50&lt;&gt;""),E50*F50,"")</f>
        <v/>
      </c>
      <c r="F10" s="373" t="str">
        <f t="shared" ref="F10:F29" si="1">IF(AND(H50&lt;&gt;"",I50&lt;&gt;""),H50*I50,"")</f>
        <v/>
      </c>
      <c r="G10" s="367" t="str">
        <f t="shared" ref="G10:G29" si="2">IF(AND(N50&lt;&gt;"",O50&lt;&gt;""),N50*O50,"")</f>
        <v/>
      </c>
      <c r="H10" s="368" t="str">
        <f t="shared" ref="H10:H29" si="3">IF(AND(S50&lt;&gt;"",T50&lt;&gt;""),S50*T50,"")</f>
        <v/>
      </c>
    </row>
    <row r="11" spans="2:20" s="32" customFormat="1" ht="12.75" x14ac:dyDescent="0.2">
      <c r="B11" s="79" t="str">
        <f>IF('3_Lehrmaterial'!B12="","",'3_Lehrmaterial'!B12)</f>
        <v>2 Mechanik</v>
      </c>
      <c r="C11" s="152">
        <f>'4_Präsenz'!D15</f>
        <v>2</v>
      </c>
      <c r="D11" s="372">
        <f t="shared" ref="D11:D29" si="4">IF(AND(B51&lt;&gt;"",C51&lt;&gt;""),B51*C51,"")</f>
        <v>2240</v>
      </c>
      <c r="E11" s="373" t="str">
        <f t="shared" si="0"/>
        <v/>
      </c>
      <c r="F11" s="373" t="str">
        <f t="shared" si="1"/>
        <v/>
      </c>
      <c r="G11" s="367" t="str">
        <f t="shared" si="2"/>
        <v/>
      </c>
      <c r="H11" s="368" t="str">
        <f t="shared" si="3"/>
        <v/>
      </c>
    </row>
    <row r="12" spans="2:20" s="32" customFormat="1" ht="12.75" x14ac:dyDescent="0.2">
      <c r="B12" s="79" t="str">
        <f>IF('3_Lehrmaterial'!B13="","",'3_Lehrmaterial'!B13)</f>
        <v>3 Konstruktionstechnik</v>
      </c>
      <c r="C12" s="152">
        <f>'4_Präsenz'!D16</f>
        <v>2</v>
      </c>
      <c r="D12" s="372">
        <f t="shared" si="4"/>
        <v>1120</v>
      </c>
      <c r="E12" s="373" t="str">
        <f t="shared" si="0"/>
        <v/>
      </c>
      <c r="F12" s="373" t="str">
        <f t="shared" si="1"/>
        <v/>
      </c>
      <c r="G12" s="367" t="str">
        <f t="shared" si="2"/>
        <v/>
      </c>
      <c r="H12" s="368" t="str">
        <f t="shared" si="3"/>
        <v/>
      </c>
    </row>
    <row r="13" spans="2:20" s="32" customFormat="1" ht="12.75" x14ac:dyDescent="0.2">
      <c r="B13" s="79" t="str">
        <f>IF('3_Lehrmaterial'!B14="","",'3_Lehrmaterial'!B14)</f>
        <v>4 Einführung in die Programmierung</v>
      </c>
      <c r="C13" s="152">
        <f>'4_Präsenz'!D17</f>
        <v>2</v>
      </c>
      <c r="D13" s="372">
        <f t="shared" si="4"/>
        <v>4480</v>
      </c>
      <c r="E13" s="373" t="str">
        <f t="shared" si="0"/>
        <v/>
      </c>
      <c r="F13" s="373" t="str">
        <f t="shared" si="1"/>
        <v/>
      </c>
      <c r="G13" s="367" t="str">
        <f t="shared" si="2"/>
        <v/>
      </c>
      <c r="H13" s="368">
        <f t="shared" si="3"/>
        <v>1120</v>
      </c>
    </row>
    <row r="14" spans="2:20" s="32" customFormat="1" ht="12.75" x14ac:dyDescent="0.2">
      <c r="B14" s="79" t="str">
        <f>IF('3_Lehrmaterial'!B15="","",'3_Lehrmaterial'!B15)</f>
        <v>5 Werkstoffkunde</v>
      </c>
      <c r="C14" s="152">
        <f>'4_Präsenz'!D18</f>
        <v>2</v>
      </c>
      <c r="D14" s="372">
        <f t="shared" si="4"/>
        <v>4480</v>
      </c>
      <c r="E14" s="373" t="str">
        <f t="shared" si="0"/>
        <v/>
      </c>
      <c r="F14" s="373" t="str">
        <f t="shared" si="1"/>
        <v/>
      </c>
      <c r="G14" s="367" t="str">
        <f t="shared" si="2"/>
        <v/>
      </c>
      <c r="H14" s="368">
        <f t="shared" si="3"/>
        <v>1120</v>
      </c>
    </row>
    <row r="15" spans="2:20" s="32" customFormat="1" ht="12.75" x14ac:dyDescent="0.2">
      <c r="B15" s="79" t="str">
        <f>IF('3_Lehrmaterial'!B16="","",'3_Lehrmaterial'!B16)</f>
        <v>6</v>
      </c>
      <c r="C15" s="152">
        <f>'4_Präsenz'!D19</f>
        <v>2</v>
      </c>
      <c r="D15" s="372">
        <f t="shared" si="4"/>
        <v>2240</v>
      </c>
      <c r="E15" s="373">
        <f t="shared" si="0"/>
        <v>400</v>
      </c>
      <c r="F15" s="373" t="str">
        <f t="shared" si="1"/>
        <v/>
      </c>
      <c r="G15" s="367" t="str">
        <f t="shared" si="2"/>
        <v/>
      </c>
      <c r="H15" s="368" t="str">
        <f t="shared" si="3"/>
        <v/>
      </c>
    </row>
    <row r="16" spans="2:20" s="32" customFormat="1" ht="12.75" x14ac:dyDescent="0.2">
      <c r="B16" s="79">
        <f>IF('3_Lehrmaterial'!B17="","",'3_Lehrmaterial'!B17)</f>
        <v>7</v>
      </c>
      <c r="C16" s="152">
        <f>'4_Präsenz'!D20</f>
        <v>2</v>
      </c>
      <c r="D16" s="372">
        <f t="shared" si="4"/>
        <v>2240</v>
      </c>
      <c r="E16" s="373" t="str">
        <f t="shared" si="0"/>
        <v/>
      </c>
      <c r="F16" s="373" t="str">
        <f t="shared" si="1"/>
        <v/>
      </c>
      <c r="G16" s="367" t="str">
        <f t="shared" si="2"/>
        <v/>
      </c>
      <c r="H16" s="368" t="str">
        <f t="shared" si="3"/>
        <v/>
      </c>
    </row>
    <row r="17" spans="2:20" s="32" customFormat="1" ht="12.75" x14ac:dyDescent="0.2">
      <c r="B17" s="79">
        <f>IF('3_Lehrmaterial'!B18="","",'3_Lehrmaterial'!B18)</f>
        <v>8</v>
      </c>
      <c r="C17" s="152">
        <f>'4_Präsenz'!D21</f>
        <v>2</v>
      </c>
      <c r="D17" s="372">
        <f t="shared" si="4"/>
        <v>1120</v>
      </c>
      <c r="E17" s="373" t="str">
        <f t="shared" si="0"/>
        <v/>
      </c>
      <c r="F17" s="373" t="str">
        <f t="shared" si="1"/>
        <v/>
      </c>
      <c r="G17" s="367" t="str">
        <f t="shared" si="2"/>
        <v/>
      </c>
      <c r="H17" s="368" t="str">
        <f t="shared" si="3"/>
        <v/>
      </c>
    </row>
    <row r="18" spans="2:20" s="32" customFormat="1" ht="12.75" x14ac:dyDescent="0.2">
      <c r="B18" s="79">
        <f>IF('3_Lehrmaterial'!B19="","",'3_Lehrmaterial'!B19)</f>
        <v>9</v>
      </c>
      <c r="C18" s="152">
        <f>'4_Präsenz'!D22</f>
        <v>2</v>
      </c>
      <c r="D18" s="372">
        <f t="shared" si="4"/>
        <v>4480</v>
      </c>
      <c r="E18" s="373" t="str">
        <f t="shared" si="0"/>
        <v/>
      </c>
      <c r="F18" s="373" t="str">
        <f t="shared" si="1"/>
        <v/>
      </c>
      <c r="G18" s="367" t="str">
        <f t="shared" si="2"/>
        <v/>
      </c>
      <c r="H18" s="368">
        <f t="shared" si="3"/>
        <v>1120</v>
      </c>
    </row>
    <row r="19" spans="2:20" s="32" customFormat="1" ht="12.75" x14ac:dyDescent="0.2">
      <c r="B19" s="79">
        <f>IF('3_Lehrmaterial'!B20="","",'3_Lehrmaterial'!B20)</f>
        <v>10</v>
      </c>
      <c r="C19" s="152">
        <f>'4_Präsenz'!D23</f>
        <v>2</v>
      </c>
      <c r="D19" s="372">
        <f t="shared" si="4"/>
        <v>4480</v>
      </c>
      <c r="E19" s="373" t="str">
        <f t="shared" si="0"/>
        <v/>
      </c>
      <c r="F19" s="373" t="str">
        <f t="shared" si="1"/>
        <v/>
      </c>
      <c r="G19" s="367" t="str">
        <f t="shared" si="2"/>
        <v/>
      </c>
      <c r="H19" s="368">
        <f t="shared" si="3"/>
        <v>1120</v>
      </c>
    </row>
    <row r="20" spans="2:20" s="32" customFormat="1" ht="12.75" x14ac:dyDescent="0.2">
      <c r="B20" s="79">
        <f>IF('3_Lehrmaterial'!B21="","",'3_Lehrmaterial'!B21)</f>
        <v>11</v>
      </c>
      <c r="C20" s="152">
        <f>'4_Präsenz'!D24</f>
        <v>2</v>
      </c>
      <c r="D20" s="372">
        <f t="shared" si="4"/>
        <v>2240</v>
      </c>
      <c r="E20" s="373" t="str">
        <f t="shared" si="0"/>
        <v/>
      </c>
      <c r="F20" s="373" t="str">
        <f t="shared" si="1"/>
        <v/>
      </c>
      <c r="G20" s="367">
        <f t="shared" si="2"/>
        <v>150</v>
      </c>
      <c r="H20" s="368" t="str">
        <f t="shared" si="3"/>
        <v/>
      </c>
    </row>
    <row r="21" spans="2:20" s="32" customFormat="1" ht="12.75" x14ac:dyDescent="0.2">
      <c r="B21" s="79">
        <f>IF('3_Lehrmaterial'!B22="","",'3_Lehrmaterial'!B22)</f>
        <v>12</v>
      </c>
      <c r="C21" s="152">
        <f>'4_Präsenz'!D25</f>
        <v>2</v>
      </c>
      <c r="D21" s="372">
        <f t="shared" si="4"/>
        <v>2240</v>
      </c>
      <c r="E21" s="373" t="str">
        <f t="shared" si="0"/>
        <v/>
      </c>
      <c r="F21" s="373" t="str">
        <f t="shared" si="1"/>
        <v/>
      </c>
      <c r="G21" s="367" t="str">
        <f t="shared" si="2"/>
        <v/>
      </c>
      <c r="H21" s="368" t="str">
        <f t="shared" si="3"/>
        <v/>
      </c>
    </row>
    <row r="22" spans="2:20" s="32" customFormat="1" ht="12.75" x14ac:dyDescent="0.2">
      <c r="B22" s="79">
        <f>IF('3_Lehrmaterial'!B23="","",'3_Lehrmaterial'!B23)</f>
        <v>13</v>
      </c>
      <c r="C22" s="152">
        <f>'4_Präsenz'!D26</f>
        <v>2</v>
      </c>
      <c r="D22" s="372">
        <f t="shared" si="4"/>
        <v>1120</v>
      </c>
      <c r="E22" s="373" t="str">
        <f t="shared" si="0"/>
        <v/>
      </c>
      <c r="F22" s="373" t="str">
        <f t="shared" si="1"/>
        <v/>
      </c>
      <c r="G22" s="367" t="str">
        <f t="shared" si="2"/>
        <v/>
      </c>
      <c r="H22" s="368" t="str">
        <f t="shared" si="3"/>
        <v/>
      </c>
    </row>
    <row r="23" spans="2:20" s="32" customFormat="1" ht="12.75" x14ac:dyDescent="0.2">
      <c r="B23" s="79">
        <f>IF('3_Lehrmaterial'!B24="","",'3_Lehrmaterial'!B24)</f>
        <v>14</v>
      </c>
      <c r="C23" s="152">
        <f>'4_Präsenz'!D27</f>
        <v>3</v>
      </c>
      <c r="D23" s="372">
        <f t="shared" si="4"/>
        <v>6720</v>
      </c>
      <c r="E23" s="373" t="str">
        <f t="shared" si="0"/>
        <v/>
      </c>
      <c r="F23" s="373">
        <f t="shared" si="1"/>
        <v>150</v>
      </c>
      <c r="G23" s="367" t="str">
        <f t="shared" si="2"/>
        <v/>
      </c>
      <c r="H23" s="368">
        <f t="shared" si="3"/>
        <v>1120</v>
      </c>
    </row>
    <row r="24" spans="2:20" s="32" customFormat="1" ht="12.75" x14ac:dyDescent="0.2">
      <c r="B24" s="79">
        <f>IF('3_Lehrmaterial'!B25="","",'3_Lehrmaterial'!B25)</f>
        <v>15</v>
      </c>
      <c r="C24" s="152">
        <f>'4_Präsenz'!D28</f>
        <v>3</v>
      </c>
      <c r="D24" s="372">
        <f t="shared" si="4"/>
        <v>6720</v>
      </c>
      <c r="E24" s="373" t="str">
        <f t="shared" si="0"/>
        <v/>
      </c>
      <c r="F24" s="373">
        <f t="shared" si="1"/>
        <v>100</v>
      </c>
      <c r="G24" s="367" t="str">
        <f t="shared" si="2"/>
        <v/>
      </c>
      <c r="H24" s="368">
        <f t="shared" si="3"/>
        <v>1120</v>
      </c>
    </row>
    <row r="25" spans="2:20" s="32" customFormat="1" ht="12.75" x14ac:dyDescent="0.2">
      <c r="B25" s="79">
        <f>IF('3_Lehrmaterial'!B26="","",'3_Lehrmaterial'!B26)</f>
        <v>16</v>
      </c>
      <c r="C25" s="152">
        <f>'4_Präsenz'!D29</f>
        <v>3</v>
      </c>
      <c r="D25" s="372">
        <f t="shared" si="4"/>
        <v>3360</v>
      </c>
      <c r="E25" s="373" t="str">
        <f t="shared" si="0"/>
        <v/>
      </c>
      <c r="F25" s="373">
        <f t="shared" si="1"/>
        <v>200</v>
      </c>
      <c r="G25" s="367" t="str">
        <f t="shared" si="2"/>
        <v/>
      </c>
      <c r="H25" s="368" t="str">
        <f t="shared" si="3"/>
        <v/>
      </c>
    </row>
    <row r="26" spans="2:20" s="32" customFormat="1" ht="12.75" x14ac:dyDescent="0.2">
      <c r="B26" s="79">
        <f>IF('3_Lehrmaterial'!B27="","",'3_Lehrmaterial'!B27)</f>
        <v>17</v>
      </c>
      <c r="C26" s="152">
        <f>'4_Präsenz'!D30</f>
        <v>4</v>
      </c>
      <c r="D26" s="372">
        <f t="shared" si="4"/>
        <v>2240</v>
      </c>
      <c r="E26" s="373" t="str">
        <f t="shared" si="0"/>
        <v/>
      </c>
      <c r="F26" s="373" t="str">
        <f t="shared" si="1"/>
        <v/>
      </c>
      <c r="G26" s="367" t="str">
        <f t="shared" si="2"/>
        <v/>
      </c>
      <c r="H26" s="368" t="str">
        <f t="shared" si="3"/>
        <v/>
      </c>
    </row>
    <row r="27" spans="2:20" s="32" customFormat="1" ht="12.75" x14ac:dyDescent="0.2">
      <c r="B27" s="79">
        <f>IF('3_Lehrmaterial'!B28="","",'3_Lehrmaterial'!B28)</f>
        <v>18</v>
      </c>
      <c r="C27" s="152">
        <f>'4_Präsenz'!D31</f>
        <v>4</v>
      </c>
      <c r="D27" s="372">
        <f t="shared" si="4"/>
        <v>2240</v>
      </c>
      <c r="E27" s="373" t="str">
        <f t="shared" si="0"/>
        <v/>
      </c>
      <c r="F27" s="373" t="str">
        <f t="shared" si="1"/>
        <v/>
      </c>
      <c r="G27" s="367" t="str">
        <f t="shared" si="2"/>
        <v/>
      </c>
      <c r="H27" s="368" t="str">
        <f t="shared" si="3"/>
        <v/>
      </c>
    </row>
    <row r="28" spans="2:20" s="32" customFormat="1" ht="12.75" x14ac:dyDescent="0.2">
      <c r="B28" s="79">
        <f>IF('3_Lehrmaterial'!B29="","",'3_Lehrmaterial'!B29)</f>
        <v>19</v>
      </c>
      <c r="C28" s="152">
        <f>'4_Präsenz'!D32</f>
        <v>4</v>
      </c>
      <c r="D28" s="372">
        <f t="shared" si="4"/>
        <v>2240</v>
      </c>
      <c r="E28" s="373" t="str">
        <f t="shared" si="0"/>
        <v/>
      </c>
      <c r="F28" s="373" t="str">
        <f t="shared" si="1"/>
        <v/>
      </c>
      <c r="G28" s="367" t="str">
        <f t="shared" si="2"/>
        <v/>
      </c>
      <c r="H28" s="368" t="str">
        <f t="shared" si="3"/>
        <v/>
      </c>
    </row>
    <row r="29" spans="2:20" s="32" customFormat="1" ht="13.5" thickBot="1" x14ac:dyDescent="0.25">
      <c r="B29" s="182">
        <f>IF('3_Lehrmaterial'!B30="","",'3_Lehrmaterial'!B30)</f>
        <v>20</v>
      </c>
      <c r="C29" s="153">
        <f>'4_Präsenz'!D33</f>
        <v>4</v>
      </c>
      <c r="D29" s="374">
        <f t="shared" si="4"/>
        <v>2240</v>
      </c>
      <c r="E29" s="375" t="str">
        <f t="shared" si="0"/>
        <v/>
      </c>
      <c r="F29" s="375" t="str">
        <f t="shared" si="1"/>
        <v/>
      </c>
      <c r="G29" s="376" t="str">
        <f t="shared" si="2"/>
        <v/>
      </c>
      <c r="H29" s="377" t="str">
        <f t="shared" si="3"/>
        <v/>
      </c>
    </row>
    <row r="30" spans="2:20" s="32" customFormat="1" ht="13.5" thickBot="1" x14ac:dyDescent="0.25">
      <c r="B30" s="231" t="s">
        <v>9</v>
      </c>
      <c r="C30" s="232">
        <f>SUM(C10:C29)</f>
        <v>51</v>
      </c>
      <c r="D30" s="378">
        <f>SUM(D10:D29)</f>
        <v>60480</v>
      </c>
      <c r="E30" s="379">
        <f>IF(SUM(E10:E29)&lt;&gt;"0",SUM(E10:E25),"0")</f>
        <v>400</v>
      </c>
      <c r="F30" s="379">
        <f>IF(SUM(F10:F29)&lt;&gt;"0",SUM(F10:F29),"0")</f>
        <v>450</v>
      </c>
      <c r="G30" s="379">
        <f>IF(SUM(G10:G29)&lt;&gt;"0",SUM(G10:G25),"0")</f>
        <v>150</v>
      </c>
      <c r="H30" s="380">
        <f>SUM(H10:H29)</f>
        <v>6720</v>
      </c>
    </row>
    <row r="31" spans="2:20" s="159" customFormat="1" ht="12.75" x14ac:dyDescent="0.2">
      <c r="B31" s="45"/>
      <c r="C31" s="157"/>
      <c r="D31" s="158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</row>
    <row r="32" spans="2:20" s="32" customFormat="1" ht="15.75" customHeight="1" x14ac:dyDescent="0.2">
      <c r="B32" s="44"/>
      <c r="C32" s="44"/>
      <c r="D32" s="34"/>
      <c r="E32" s="34"/>
      <c r="F32" s="34"/>
      <c r="G32" s="44"/>
      <c r="H32" s="44"/>
      <c r="I32" s="34"/>
      <c r="J32" s="34"/>
      <c r="K32" s="44"/>
      <c r="L32" s="44"/>
      <c r="M32" s="44"/>
      <c r="N32" s="44"/>
      <c r="O32" s="34"/>
      <c r="P32" s="34"/>
      <c r="Q32" s="34"/>
      <c r="R32" s="27"/>
      <c r="S32" s="34"/>
      <c r="T32" s="34"/>
    </row>
    <row r="33" spans="2:22" s="32" customFormat="1" ht="12.75" x14ac:dyDescent="0.2"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27"/>
      <c r="S33" s="34"/>
      <c r="T33" s="34"/>
    </row>
    <row r="34" spans="2:22" s="32" customFormat="1" ht="12.75" x14ac:dyDescent="0.2"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27"/>
      <c r="S34" s="34"/>
      <c r="T34" s="34"/>
    </row>
    <row r="35" spans="2:22" s="32" customFormat="1" ht="12.75" x14ac:dyDescent="0.2">
      <c r="D35" s="47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27"/>
      <c r="S35" s="34"/>
      <c r="T35" s="34"/>
    </row>
    <row r="36" spans="2:22" s="32" customFormat="1" ht="12.75" x14ac:dyDescent="0.2">
      <c r="D36" s="47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2:22" s="32" customFormat="1" ht="12.75" x14ac:dyDescent="0.2">
      <c r="D37" s="47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2:22" s="32" customFormat="1" ht="12.75" x14ac:dyDescent="0.2">
      <c r="D38" s="47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2:22" s="32" customFormat="1" ht="12.75" x14ac:dyDescent="0.2">
      <c r="D39" s="47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2:22" s="32" customFormat="1" ht="12.75" x14ac:dyDescent="0.2">
      <c r="D40" s="47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2:22" s="29" customFormat="1" ht="12.75" x14ac:dyDescent="0.2">
      <c r="D41" s="4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2:22" s="32" customFormat="1" ht="12.75" x14ac:dyDescent="0.2">
      <c r="B42" s="159"/>
      <c r="C42" s="159"/>
      <c r="D42" s="4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2:22" s="32" customFormat="1" ht="12.75" x14ac:dyDescent="0.2">
      <c r="B43" s="159"/>
      <c r="C43" s="159"/>
    </row>
    <row r="44" spans="2:22" s="32" customFormat="1" ht="12.75" x14ac:dyDescent="0.2">
      <c r="B44" s="159"/>
      <c r="C44" s="159"/>
    </row>
    <row r="45" spans="2:22" s="32" customFormat="1" ht="12.75" hidden="1" x14ac:dyDescent="0.2">
      <c r="B45" s="159"/>
      <c r="C45" s="170"/>
      <c r="D45" s="170"/>
      <c r="E45" s="170"/>
      <c r="F45" s="170"/>
      <c r="G45" s="170"/>
      <c r="H45" s="170" t="s">
        <v>116</v>
      </c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</row>
    <row r="46" spans="2:22" s="32" customFormat="1" ht="12.75" hidden="1" x14ac:dyDescent="0.2">
      <c r="B46" s="159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</row>
    <row r="47" spans="2:22" s="32" customFormat="1" ht="12.75" hidden="1" x14ac:dyDescent="0.2">
      <c r="B47" s="159"/>
      <c r="C47" s="170"/>
      <c r="D47" s="170"/>
      <c r="E47" s="170"/>
      <c r="F47" s="170"/>
      <c r="G47" s="170"/>
      <c r="H47" s="170" t="s">
        <v>115</v>
      </c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</row>
    <row r="48" spans="2:22" s="32" customFormat="1" ht="12.75" hidden="1" x14ac:dyDescent="0.2">
      <c r="B48" s="164" t="str">
        <f>'4_Präsenz'!G12</f>
        <v xml:space="preserve">Durchführung Präsenzveranstaltung </v>
      </c>
      <c r="C48" s="165"/>
      <c r="E48" s="178" t="str">
        <f>'4_Präsenz'!H13</f>
        <v>Chatveranstaltung</v>
      </c>
      <c r="F48" s="165"/>
      <c r="H48" s="50" t="str">
        <f>'4_Präsenz'!I13</f>
        <v>zusätzl. Präsenzveranstaltung</v>
      </c>
      <c r="I48" s="165"/>
      <c r="J48" s="29"/>
      <c r="N48" s="178" t="str">
        <f>'4_Präsenz'!J13</f>
        <v>zusätzl. Mitarbeitereinsatz</v>
      </c>
      <c r="O48" s="165"/>
      <c r="P48" s="29"/>
      <c r="Q48" s="29"/>
      <c r="S48" s="178" t="str">
        <f>'4_Präsenz'!K13</f>
        <v>Tutorien</v>
      </c>
      <c r="T48" s="165"/>
    </row>
    <row r="49" spans="2:20" s="32" customFormat="1" ht="13.5" hidden="1" thickBot="1" x14ac:dyDescent="0.25">
      <c r="B49" s="166" t="s">
        <v>15</v>
      </c>
      <c r="C49" s="167" t="s">
        <v>16</v>
      </c>
      <c r="E49" s="171" t="s">
        <v>15</v>
      </c>
      <c r="F49" s="99" t="s">
        <v>16</v>
      </c>
      <c r="H49" s="171" t="s">
        <v>15</v>
      </c>
      <c r="I49" s="99" t="s">
        <v>16</v>
      </c>
      <c r="J49" s="46"/>
      <c r="N49" s="171" t="s">
        <v>15</v>
      </c>
      <c r="O49" s="99" t="s">
        <v>16</v>
      </c>
      <c r="P49" s="46"/>
      <c r="Q49" s="46"/>
      <c r="S49" s="171" t="s">
        <v>15</v>
      </c>
      <c r="T49" s="99" t="s">
        <v>16</v>
      </c>
    </row>
    <row r="50" spans="2:20" s="32" customFormat="1" ht="12.75" hidden="1" x14ac:dyDescent="0.2">
      <c r="B50" s="127">
        <f>IF('4_Präsenz'!G14&lt;&gt;"",'4_Präsenz'!G14,"")</f>
        <v>32</v>
      </c>
      <c r="C50" s="168">
        <f>'4_Präsenz'!$N$30</f>
        <v>70</v>
      </c>
      <c r="E50" s="172" t="str">
        <f>IF('4_Präsenz'!H14&lt;&gt;"",'4_Präsenz'!H14,"")</f>
        <v/>
      </c>
      <c r="F50" s="168" t="str">
        <f t="shared" ref="F50:F69" si="5">IF(E50&lt;&gt;"",Präsenz_3,"")</f>
        <v/>
      </c>
      <c r="H50" s="172" t="str">
        <f>IF('4_Präsenz'!I14&lt;&gt;"",'4_Präsenz'!I14,"")</f>
        <v/>
      </c>
      <c r="I50" s="168" t="str">
        <f>IF(H50&lt;&gt;"",'4_Präsenz'!$N$32,"")</f>
        <v/>
      </c>
      <c r="J50" s="103"/>
      <c r="N50" s="172" t="str">
        <f>IF('4_Präsenz'!J14&lt;&gt;"",'4_Präsenz'!J14,"")</f>
        <v/>
      </c>
      <c r="O50" s="168" t="str">
        <f>IF(N50&lt;&gt;"",'4_Präsenz'!$N$33,"")</f>
        <v/>
      </c>
      <c r="P50" s="103"/>
      <c r="Q50" s="103"/>
      <c r="S50" s="179" t="str">
        <f>IF('4_Präsenz'!K14&lt;&gt;"",'4_Präsenz'!K14,"")</f>
        <v/>
      </c>
      <c r="T50" s="168" t="str">
        <f t="shared" ref="T50:T69" si="6">IF(S50&lt;&gt;"",Präsenz_Unterstützung,"")</f>
        <v/>
      </c>
    </row>
    <row r="51" spans="2:20" s="32" customFormat="1" ht="12.75" hidden="1" x14ac:dyDescent="0.2">
      <c r="B51" s="128">
        <f>IF('4_Präsenz'!G15&lt;&gt;"",'4_Präsenz'!G15,"")</f>
        <v>32</v>
      </c>
      <c r="C51" s="168">
        <f>'4_Präsenz'!$N$30</f>
        <v>70</v>
      </c>
      <c r="E51" s="173" t="str">
        <f>IF('4_Präsenz'!H15&lt;&gt;"",'4_Präsenz'!H15,"")</f>
        <v/>
      </c>
      <c r="F51" s="174" t="str">
        <f t="shared" si="5"/>
        <v/>
      </c>
      <c r="H51" s="172" t="str">
        <f>IF('4_Präsenz'!I15&lt;&gt;"",'4_Präsenz'!I15,"")</f>
        <v/>
      </c>
      <c r="I51" s="168" t="str">
        <f>IF(H51&lt;&gt;"",'4_Präsenz'!$N$32,"")</f>
        <v/>
      </c>
      <c r="J51" s="103"/>
      <c r="N51" s="172" t="str">
        <f>IF('4_Präsenz'!J15&lt;&gt;"",'4_Präsenz'!J15,"")</f>
        <v/>
      </c>
      <c r="O51" s="168" t="str">
        <f>IF(N51&lt;&gt;"",'4_Präsenz'!$N$33,"")</f>
        <v/>
      </c>
      <c r="P51" s="103"/>
      <c r="Q51" s="103"/>
      <c r="S51" s="180" t="str">
        <f>IF('4_Präsenz'!K15&lt;&gt;"",'4_Präsenz'!K15,"")</f>
        <v/>
      </c>
      <c r="T51" s="174" t="str">
        <f t="shared" si="6"/>
        <v/>
      </c>
    </row>
    <row r="52" spans="2:20" s="32" customFormat="1" ht="12.75" hidden="1" x14ac:dyDescent="0.2">
      <c r="B52" s="128">
        <f>IF('4_Präsenz'!G16&lt;&gt;"",'4_Präsenz'!G16,"")</f>
        <v>16</v>
      </c>
      <c r="C52" s="168">
        <f>'4_Präsenz'!$N$30</f>
        <v>70</v>
      </c>
      <c r="E52" s="173" t="str">
        <f>IF('4_Präsenz'!H16&lt;&gt;"",'4_Präsenz'!H16,"")</f>
        <v/>
      </c>
      <c r="F52" s="174" t="str">
        <f t="shared" si="5"/>
        <v/>
      </c>
      <c r="H52" s="172" t="str">
        <f>IF('4_Präsenz'!I16&lt;&gt;"",'4_Präsenz'!I16,"")</f>
        <v/>
      </c>
      <c r="I52" s="168" t="str">
        <f>IF(H52&lt;&gt;"",'4_Präsenz'!$N$32,"")</f>
        <v/>
      </c>
      <c r="J52" s="103"/>
      <c r="N52" s="172" t="str">
        <f>IF('4_Präsenz'!J16&lt;&gt;"",'4_Präsenz'!J16,"")</f>
        <v/>
      </c>
      <c r="O52" s="168" t="str">
        <f>IF(N52&lt;&gt;"",'4_Präsenz'!$N$33,"")</f>
        <v/>
      </c>
      <c r="P52" s="103"/>
      <c r="Q52" s="103"/>
      <c r="S52" s="180" t="str">
        <f>IF('4_Präsenz'!K16&lt;&gt;"",'4_Präsenz'!K16,"")</f>
        <v/>
      </c>
      <c r="T52" s="174" t="str">
        <f t="shared" si="6"/>
        <v/>
      </c>
    </row>
    <row r="53" spans="2:20" s="32" customFormat="1" ht="12.75" hidden="1" x14ac:dyDescent="0.2">
      <c r="B53" s="128">
        <f>IF('4_Präsenz'!G17&lt;&gt;"",'4_Präsenz'!G17,"")</f>
        <v>64</v>
      </c>
      <c r="C53" s="168">
        <f>'4_Präsenz'!$N$30</f>
        <v>70</v>
      </c>
      <c r="E53" s="173" t="str">
        <f>IF('4_Präsenz'!H17&lt;&gt;"",'4_Präsenz'!H17,"")</f>
        <v/>
      </c>
      <c r="F53" s="174" t="str">
        <f t="shared" si="5"/>
        <v/>
      </c>
      <c r="H53" s="172" t="str">
        <f>IF('4_Präsenz'!I17&lt;&gt;"",'4_Präsenz'!I17,"")</f>
        <v/>
      </c>
      <c r="I53" s="168" t="str">
        <f>IF(H53&lt;&gt;"",'4_Präsenz'!$N$32,"")</f>
        <v/>
      </c>
      <c r="J53" s="103"/>
      <c r="N53" s="172" t="str">
        <f>IF('4_Präsenz'!J17&lt;&gt;"",'4_Präsenz'!J17,"")</f>
        <v/>
      </c>
      <c r="O53" s="168" t="str">
        <f>IF(N53&lt;&gt;"",'4_Präsenz'!$N$33,"")</f>
        <v/>
      </c>
      <c r="P53" s="103"/>
      <c r="Q53" s="103"/>
      <c r="S53" s="180">
        <f>IF('4_Präsenz'!K17&lt;&gt;"",'4_Präsenz'!K17,"")</f>
        <v>32</v>
      </c>
      <c r="T53" s="174">
        <f t="shared" si="6"/>
        <v>35</v>
      </c>
    </row>
    <row r="54" spans="2:20" s="32" customFormat="1" ht="12.75" hidden="1" x14ac:dyDescent="0.2">
      <c r="B54" s="128">
        <f>IF('4_Präsenz'!G18&lt;&gt;"",'4_Präsenz'!G18,"")</f>
        <v>64</v>
      </c>
      <c r="C54" s="168">
        <f>'4_Präsenz'!$N$30</f>
        <v>70</v>
      </c>
      <c r="E54" s="173" t="str">
        <f>IF('4_Präsenz'!H18&lt;&gt;"",'4_Präsenz'!H18,"")</f>
        <v/>
      </c>
      <c r="F54" s="174" t="str">
        <f t="shared" si="5"/>
        <v/>
      </c>
      <c r="H54" s="172" t="str">
        <f>IF('4_Präsenz'!I18&lt;&gt;"",'4_Präsenz'!I18,"")</f>
        <v/>
      </c>
      <c r="I54" s="168" t="str">
        <f>IF(H54&lt;&gt;"",'4_Präsenz'!$N$32,"")</f>
        <v/>
      </c>
      <c r="J54" s="103"/>
      <c r="N54" s="172" t="str">
        <f>IF('4_Präsenz'!J18&lt;&gt;"",'4_Präsenz'!J18,"")</f>
        <v/>
      </c>
      <c r="O54" s="168" t="str">
        <f>IF(N54&lt;&gt;"",'4_Präsenz'!$N$33,"")</f>
        <v/>
      </c>
      <c r="P54" s="103"/>
      <c r="Q54" s="103"/>
      <c r="S54" s="180">
        <f>IF('4_Präsenz'!K18&lt;&gt;"",'4_Präsenz'!K18,"")</f>
        <v>32</v>
      </c>
      <c r="T54" s="174">
        <f t="shared" si="6"/>
        <v>35</v>
      </c>
    </row>
    <row r="55" spans="2:20" s="32" customFormat="1" ht="12.75" hidden="1" x14ac:dyDescent="0.2">
      <c r="B55" s="128">
        <f>IF('4_Präsenz'!G19&lt;&gt;"",'4_Präsenz'!G19,"")</f>
        <v>32</v>
      </c>
      <c r="C55" s="168">
        <f>'4_Präsenz'!$N$30</f>
        <v>70</v>
      </c>
      <c r="E55" s="173">
        <f>IF('4_Präsenz'!H19&lt;&gt;"",'4_Präsenz'!H19,"")</f>
        <v>8</v>
      </c>
      <c r="F55" s="174">
        <f t="shared" si="5"/>
        <v>50</v>
      </c>
      <c r="H55" s="172" t="str">
        <f>IF('4_Präsenz'!I19&lt;&gt;"",'4_Präsenz'!I19,"")</f>
        <v/>
      </c>
      <c r="I55" s="168" t="str">
        <f>IF(H55&lt;&gt;"",'4_Präsenz'!$N$32,"")</f>
        <v/>
      </c>
      <c r="J55" s="103"/>
      <c r="N55" s="172" t="str">
        <f>IF('4_Präsenz'!J19&lt;&gt;"",'4_Präsenz'!J19,"")</f>
        <v/>
      </c>
      <c r="O55" s="168" t="str">
        <f>IF(N55&lt;&gt;"",'4_Präsenz'!$N$33,"")</f>
        <v/>
      </c>
      <c r="P55" s="103"/>
      <c r="Q55" s="103"/>
      <c r="S55" s="180" t="str">
        <f>IF('4_Präsenz'!K19&lt;&gt;"",'4_Präsenz'!K19,"")</f>
        <v/>
      </c>
      <c r="T55" s="174" t="str">
        <f t="shared" si="6"/>
        <v/>
      </c>
    </row>
    <row r="56" spans="2:20" s="32" customFormat="1" ht="12.75" hidden="1" x14ac:dyDescent="0.2">
      <c r="B56" s="128">
        <f>IF('4_Präsenz'!G20&lt;&gt;"",'4_Präsenz'!G20,"")</f>
        <v>32</v>
      </c>
      <c r="C56" s="168">
        <f>'4_Präsenz'!$N$30</f>
        <v>70</v>
      </c>
      <c r="E56" s="173" t="str">
        <f>IF('4_Präsenz'!H20&lt;&gt;"",'4_Präsenz'!H20,"")</f>
        <v/>
      </c>
      <c r="F56" s="174" t="str">
        <f t="shared" si="5"/>
        <v/>
      </c>
      <c r="H56" s="172" t="str">
        <f>IF('4_Präsenz'!I20&lt;&gt;"",'4_Präsenz'!I20,"")</f>
        <v/>
      </c>
      <c r="I56" s="168" t="str">
        <f>IF(H56&lt;&gt;"",'4_Präsenz'!$N$32,"")</f>
        <v/>
      </c>
      <c r="J56" s="103"/>
      <c r="N56" s="172" t="str">
        <f>IF('4_Präsenz'!J20&lt;&gt;"",'4_Präsenz'!J20,"")</f>
        <v/>
      </c>
      <c r="O56" s="168" t="str">
        <f>IF(N56&lt;&gt;"",'4_Präsenz'!$N$33,"")</f>
        <v/>
      </c>
      <c r="P56" s="103"/>
      <c r="Q56" s="103"/>
      <c r="S56" s="180" t="str">
        <f>IF('4_Präsenz'!K20&lt;&gt;"",'4_Präsenz'!K20,"")</f>
        <v/>
      </c>
      <c r="T56" s="174" t="str">
        <f t="shared" si="6"/>
        <v/>
      </c>
    </row>
    <row r="57" spans="2:20" s="32" customFormat="1" ht="12.75" hidden="1" x14ac:dyDescent="0.2">
      <c r="B57" s="128">
        <f>IF('4_Präsenz'!G21&lt;&gt;"",'4_Präsenz'!G21,"")</f>
        <v>16</v>
      </c>
      <c r="C57" s="168">
        <f>'4_Präsenz'!$N$30</f>
        <v>70</v>
      </c>
      <c r="E57" s="173" t="str">
        <f>IF('4_Präsenz'!H21&lt;&gt;"",'4_Präsenz'!H21,"")</f>
        <v/>
      </c>
      <c r="F57" s="174" t="str">
        <f t="shared" si="5"/>
        <v/>
      </c>
      <c r="H57" s="172" t="str">
        <f>IF('4_Präsenz'!I21&lt;&gt;"",'4_Präsenz'!I21,"")</f>
        <v/>
      </c>
      <c r="I57" s="168" t="str">
        <f>IF(H57&lt;&gt;"",'4_Präsenz'!$N$32,"")</f>
        <v/>
      </c>
      <c r="J57" s="103"/>
      <c r="N57" s="172" t="str">
        <f>IF('4_Präsenz'!J21&lt;&gt;"",'4_Präsenz'!J21,"")</f>
        <v/>
      </c>
      <c r="O57" s="168" t="str">
        <f>IF(N57&lt;&gt;"",'4_Präsenz'!$N$33,"")</f>
        <v/>
      </c>
      <c r="P57" s="103"/>
      <c r="Q57" s="103"/>
      <c r="S57" s="180" t="str">
        <f>IF('4_Präsenz'!K21&lt;&gt;"",'4_Präsenz'!K21,"")</f>
        <v/>
      </c>
      <c r="T57" s="174" t="str">
        <f t="shared" si="6"/>
        <v/>
      </c>
    </row>
    <row r="58" spans="2:20" s="32" customFormat="1" ht="12.75" hidden="1" x14ac:dyDescent="0.2">
      <c r="B58" s="128">
        <f>IF('4_Präsenz'!G22&lt;&gt;"",'4_Präsenz'!G22,"")</f>
        <v>64</v>
      </c>
      <c r="C58" s="168">
        <f>'4_Präsenz'!$N$30</f>
        <v>70</v>
      </c>
      <c r="E58" s="173" t="str">
        <f>IF('4_Präsenz'!H22&lt;&gt;"",'4_Präsenz'!H22,"")</f>
        <v/>
      </c>
      <c r="F58" s="174" t="str">
        <f t="shared" si="5"/>
        <v/>
      </c>
      <c r="H58" s="172" t="str">
        <f>IF('4_Präsenz'!I22&lt;&gt;"",'4_Präsenz'!I22,"")</f>
        <v/>
      </c>
      <c r="I58" s="168" t="str">
        <f>IF(H58&lt;&gt;"",'4_Präsenz'!$N$32,"")</f>
        <v/>
      </c>
      <c r="J58" s="103"/>
      <c r="N58" s="172" t="str">
        <f>IF('4_Präsenz'!J22&lt;&gt;"",'4_Präsenz'!J22,"")</f>
        <v/>
      </c>
      <c r="O58" s="168" t="str">
        <f>IF(N58&lt;&gt;"",'4_Präsenz'!$N$33,"")</f>
        <v/>
      </c>
      <c r="P58" s="103"/>
      <c r="Q58" s="103"/>
      <c r="S58" s="180">
        <f>IF('4_Präsenz'!K22&lt;&gt;"",'4_Präsenz'!K22,"")</f>
        <v>32</v>
      </c>
      <c r="T58" s="174">
        <f t="shared" si="6"/>
        <v>35</v>
      </c>
    </row>
    <row r="59" spans="2:20" s="32" customFormat="1" ht="12.75" hidden="1" x14ac:dyDescent="0.2">
      <c r="B59" s="128">
        <f>IF('4_Präsenz'!G23&lt;&gt;"",'4_Präsenz'!G23,"")</f>
        <v>64</v>
      </c>
      <c r="C59" s="168">
        <f>'4_Präsenz'!$N$30</f>
        <v>70</v>
      </c>
      <c r="E59" s="173" t="str">
        <f>IF('4_Präsenz'!H23&lt;&gt;"",'4_Präsenz'!H23,"")</f>
        <v/>
      </c>
      <c r="F59" s="174" t="str">
        <f t="shared" si="5"/>
        <v/>
      </c>
      <c r="H59" s="172" t="str">
        <f>IF('4_Präsenz'!I23&lt;&gt;"",'4_Präsenz'!I23,"")</f>
        <v/>
      </c>
      <c r="I59" s="168" t="str">
        <f>IF(H59&lt;&gt;"",'4_Präsenz'!$N$32,"")</f>
        <v/>
      </c>
      <c r="J59" s="103"/>
      <c r="N59" s="172" t="str">
        <f>IF('4_Präsenz'!J23&lt;&gt;"",'4_Präsenz'!J23,"")</f>
        <v/>
      </c>
      <c r="O59" s="168" t="str">
        <f>IF(N59&lt;&gt;"",'4_Präsenz'!$N$33,"")</f>
        <v/>
      </c>
      <c r="P59" s="103"/>
      <c r="Q59" s="103"/>
      <c r="S59" s="180">
        <f>IF('4_Präsenz'!K23&lt;&gt;"",'4_Präsenz'!K23,"")</f>
        <v>32</v>
      </c>
      <c r="T59" s="174">
        <f t="shared" si="6"/>
        <v>35</v>
      </c>
    </row>
    <row r="60" spans="2:20" s="32" customFormat="1" ht="12.75" hidden="1" x14ac:dyDescent="0.2">
      <c r="B60" s="128">
        <f>IF('4_Präsenz'!G24&lt;&gt;"",'4_Präsenz'!G24,"")</f>
        <v>32</v>
      </c>
      <c r="C60" s="168">
        <f>'4_Präsenz'!$N$30</f>
        <v>70</v>
      </c>
      <c r="E60" s="173" t="str">
        <f>IF('4_Präsenz'!H24&lt;&gt;"",'4_Präsenz'!H24,"")</f>
        <v/>
      </c>
      <c r="F60" s="174" t="str">
        <f t="shared" si="5"/>
        <v/>
      </c>
      <c r="H60" s="172" t="str">
        <f>IF('4_Präsenz'!I24&lt;&gt;"",'4_Präsenz'!I24,"")</f>
        <v/>
      </c>
      <c r="I60" s="168" t="str">
        <f>IF(H60&lt;&gt;"",'4_Präsenz'!$N$32,"")</f>
        <v/>
      </c>
      <c r="J60" s="103"/>
      <c r="N60" s="172">
        <f>IF('4_Präsenz'!J24&lt;&gt;"",'4_Präsenz'!J24,"")</f>
        <v>5</v>
      </c>
      <c r="O60" s="168">
        <f>IF(N60&lt;&gt;"",'4_Präsenz'!$N$33,"")</f>
        <v>30</v>
      </c>
      <c r="P60" s="103"/>
      <c r="Q60" s="103"/>
      <c r="S60" s="180" t="str">
        <f>IF('4_Präsenz'!K24&lt;&gt;"",'4_Präsenz'!K24,"")</f>
        <v/>
      </c>
      <c r="T60" s="174" t="str">
        <f t="shared" si="6"/>
        <v/>
      </c>
    </row>
    <row r="61" spans="2:20" s="32" customFormat="1" ht="12.75" hidden="1" x14ac:dyDescent="0.2">
      <c r="B61" s="128">
        <f>IF('4_Präsenz'!G25&lt;&gt;"",'4_Präsenz'!G25,"")</f>
        <v>32</v>
      </c>
      <c r="C61" s="168">
        <f>'4_Präsenz'!$N$30</f>
        <v>70</v>
      </c>
      <c r="E61" s="173" t="str">
        <f>IF('4_Präsenz'!H25&lt;&gt;"",'4_Präsenz'!H25,"")</f>
        <v/>
      </c>
      <c r="F61" s="174" t="str">
        <f t="shared" si="5"/>
        <v/>
      </c>
      <c r="H61" s="172" t="str">
        <f>IF('4_Präsenz'!I25&lt;&gt;"",'4_Präsenz'!I25,"")</f>
        <v/>
      </c>
      <c r="I61" s="168" t="str">
        <f>IF(H61&lt;&gt;"",'4_Präsenz'!$N$32,"")</f>
        <v/>
      </c>
      <c r="J61" s="103"/>
      <c r="N61" s="172" t="str">
        <f>IF('4_Präsenz'!J25&lt;&gt;"",'4_Präsenz'!J25,"")</f>
        <v/>
      </c>
      <c r="O61" s="168" t="str">
        <f>IF(N61&lt;&gt;"",'4_Präsenz'!$N$33,"")</f>
        <v/>
      </c>
      <c r="P61" s="103"/>
      <c r="Q61" s="103"/>
      <c r="S61" s="180" t="str">
        <f>IF('4_Präsenz'!K25&lt;&gt;"",'4_Präsenz'!K25,"")</f>
        <v/>
      </c>
      <c r="T61" s="174" t="str">
        <f t="shared" si="6"/>
        <v/>
      </c>
    </row>
    <row r="62" spans="2:20" s="32" customFormat="1" ht="12.75" hidden="1" x14ac:dyDescent="0.2">
      <c r="B62" s="128">
        <f>IF('4_Präsenz'!G26&lt;&gt;"",'4_Präsenz'!G26,"")</f>
        <v>16</v>
      </c>
      <c r="C62" s="168">
        <f>'4_Präsenz'!$N$30</f>
        <v>70</v>
      </c>
      <c r="E62" s="173" t="str">
        <f>IF('4_Präsenz'!H26&lt;&gt;"",'4_Präsenz'!H26,"")</f>
        <v/>
      </c>
      <c r="F62" s="174" t="str">
        <f t="shared" si="5"/>
        <v/>
      </c>
      <c r="H62" s="172" t="str">
        <f>IF('4_Präsenz'!I26&lt;&gt;"",'4_Präsenz'!I26,"")</f>
        <v/>
      </c>
      <c r="I62" s="168" t="str">
        <f>IF(H62&lt;&gt;"",'4_Präsenz'!$N$32,"")</f>
        <v/>
      </c>
      <c r="J62" s="103"/>
      <c r="N62" s="172" t="str">
        <f>IF('4_Präsenz'!J26&lt;&gt;"",'4_Präsenz'!J26,"")</f>
        <v/>
      </c>
      <c r="O62" s="168" t="str">
        <f>IF(N62&lt;&gt;"",'4_Präsenz'!$N$33,"")</f>
        <v/>
      </c>
      <c r="P62" s="103"/>
      <c r="Q62" s="103"/>
      <c r="S62" s="180" t="str">
        <f>IF('4_Präsenz'!K26&lt;&gt;"",'4_Präsenz'!K26,"")</f>
        <v/>
      </c>
      <c r="T62" s="174" t="str">
        <f t="shared" si="6"/>
        <v/>
      </c>
    </row>
    <row r="63" spans="2:20" s="32" customFormat="1" ht="12.75" hidden="1" x14ac:dyDescent="0.2">
      <c r="B63" s="128">
        <f>IF('4_Präsenz'!G27&lt;&gt;"",'4_Präsenz'!G27,"")</f>
        <v>96</v>
      </c>
      <c r="C63" s="168">
        <f>'4_Präsenz'!$N$30</f>
        <v>70</v>
      </c>
      <c r="E63" s="173" t="str">
        <f>IF('4_Präsenz'!H27&lt;&gt;"",'4_Präsenz'!H27,"")</f>
        <v/>
      </c>
      <c r="F63" s="174" t="str">
        <f t="shared" si="5"/>
        <v/>
      </c>
      <c r="H63" s="172">
        <f>IF('4_Präsenz'!I27&lt;&gt;"",'4_Präsenz'!I27,"")</f>
        <v>3</v>
      </c>
      <c r="I63" s="168">
        <f>IF(H63&lt;&gt;"",'4_Präsenz'!$N$32,"")</f>
        <v>50</v>
      </c>
      <c r="J63" s="103"/>
      <c r="N63" s="172" t="str">
        <f>IF('4_Präsenz'!J27&lt;&gt;"",'4_Präsenz'!J27,"")</f>
        <v/>
      </c>
      <c r="O63" s="168" t="str">
        <f>IF(N63&lt;&gt;"",'4_Präsenz'!$N$33,"")</f>
        <v/>
      </c>
      <c r="P63" s="103"/>
      <c r="Q63" s="103"/>
      <c r="S63" s="180">
        <f>IF('4_Präsenz'!K27&lt;&gt;"",'4_Präsenz'!K27,"")</f>
        <v>32</v>
      </c>
      <c r="T63" s="174">
        <f t="shared" si="6"/>
        <v>35</v>
      </c>
    </row>
    <row r="64" spans="2:20" s="32" customFormat="1" ht="12.75" hidden="1" x14ac:dyDescent="0.2">
      <c r="B64" s="128">
        <f>IF('4_Präsenz'!G28&lt;&gt;"",'4_Präsenz'!G28,"")</f>
        <v>96</v>
      </c>
      <c r="C64" s="168">
        <f>'4_Präsenz'!$N$30</f>
        <v>70</v>
      </c>
      <c r="E64" s="173" t="str">
        <f>IF('4_Präsenz'!H28&lt;&gt;"",'4_Präsenz'!H28,"")</f>
        <v/>
      </c>
      <c r="F64" s="174" t="str">
        <f t="shared" si="5"/>
        <v/>
      </c>
      <c r="H64" s="172">
        <f>IF('4_Präsenz'!I28&lt;&gt;"",'4_Präsenz'!I28,"")</f>
        <v>2</v>
      </c>
      <c r="I64" s="168">
        <f>IF(H64&lt;&gt;"",'4_Präsenz'!$N$32,"")</f>
        <v>50</v>
      </c>
      <c r="J64" s="103"/>
      <c r="N64" s="172" t="str">
        <f>IF('4_Präsenz'!J28&lt;&gt;"",'4_Präsenz'!J28,"")</f>
        <v/>
      </c>
      <c r="O64" s="168" t="str">
        <f>IF(N64&lt;&gt;"",'4_Präsenz'!$N$33,"")</f>
        <v/>
      </c>
      <c r="P64" s="103"/>
      <c r="Q64" s="103"/>
      <c r="S64" s="180">
        <f>IF('4_Präsenz'!K28&lt;&gt;"",'4_Präsenz'!K28,"")</f>
        <v>32</v>
      </c>
      <c r="T64" s="174">
        <f t="shared" si="6"/>
        <v>35</v>
      </c>
    </row>
    <row r="65" spans="2:20" s="32" customFormat="1" ht="12.75" hidden="1" x14ac:dyDescent="0.2">
      <c r="B65" s="128">
        <f>IF('4_Präsenz'!G29&lt;&gt;"",'4_Präsenz'!G29,"")</f>
        <v>48</v>
      </c>
      <c r="C65" s="168">
        <f>'4_Präsenz'!$N$30</f>
        <v>70</v>
      </c>
      <c r="E65" s="173" t="str">
        <f>IF('4_Präsenz'!H29&lt;&gt;"",'4_Präsenz'!H29,"")</f>
        <v/>
      </c>
      <c r="F65" s="174" t="str">
        <f t="shared" si="5"/>
        <v/>
      </c>
      <c r="H65" s="172">
        <f>IF('4_Präsenz'!I29&lt;&gt;"",'4_Präsenz'!I29,"")</f>
        <v>4</v>
      </c>
      <c r="I65" s="168">
        <f>IF(H65&lt;&gt;"",'4_Präsenz'!$N$32,"")</f>
        <v>50</v>
      </c>
      <c r="J65" s="103"/>
      <c r="N65" s="172" t="str">
        <f>IF('4_Präsenz'!J29&lt;&gt;"",'4_Präsenz'!J29,"")</f>
        <v/>
      </c>
      <c r="O65" s="168" t="str">
        <f>IF(N65&lt;&gt;"",'4_Präsenz'!$N$33,"")</f>
        <v/>
      </c>
      <c r="P65" s="103"/>
      <c r="Q65" s="103"/>
      <c r="S65" s="180" t="str">
        <f>IF('4_Präsenz'!K29&lt;&gt;"",'4_Präsenz'!K29,"")</f>
        <v/>
      </c>
      <c r="T65" s="174" t="str">
        <f t="shared" si="6"/>
        <v/>
      </c>
    </row>
    <row r="66" spans="2:20" s="32" customFormat="1" ht="12.75" hidden="1" x14ac:dyDescent="0.2">
      <c r="B66" s="128">
        <f>IF('4_Präsenz'!G30&lt;&gt;"",'4_Präsenz'!G30,"")</f>
        <v>32</v>
      </c>
      <c r="C66" s="168">
        <f>'4_Präsenz'!$N$30</f>
        <v>70</v>
      </c>
      <c r="E66" s="173" t="str">
        <f>IF('4_Präsenz'!H30&lt;&gt;"",'4_Präsenz'!H30,"")</f>
        <v/>
      </c>
      <c r="F66" s="174" t="str">
        <f t="shared" si="5"/>
        <v/>
      </c>
      <c r="H66" s="172" t="str">
        <f>IF('4_Präsenz'!I30&lt;&gt;"",'4_Präsenz'!I30,"")</f>
        <v/>
      </c>
      <c r="I66" s="168" t="str">
        <f>IF(H66&lt;&gt;"",'4_Präsenz'!$N$32,"")</f>
        <v/>
      </c>
      <c r="J66" s="103"/>
      <c r="N66" s="172" t="str">
        <f>IF('4_Präsenz'!J30&lt;&gt;"",'4_Präsenz'!J30,"")</f>
        <v/>
      </c>
      <c r="O66" s="168" t="str">
        <f>IF(N66&lt;&gt;"",'4_Präsenz'!$N$33,"")</f>
        <v/>
      </c>
      <c r="P66" s="103"/>
      <c r="Q66" s="103"/>
      <c r="S66" s="180" t="str">
        <f>IF('4_Präsenz'!K30&lt;&gt;"",'4_Präsenz'!K30,"")</f>
        <v/>
      </c>
      <c r="T66" s="174" t="str">
        <f t="shared" si="6"/>
        <v/>
      </c>
    </row>
    <row r="67" spans="2:20" s="32" customFormat="1" ht="12.75" hidden="1" x14ac:dyDescent="0.2">
      <c r="B67" s="128">
        <f>IF('4_Präsenz'!G31&lt;&gt;"",'4_Präsenz'!G31,"")</f>
        <v>32</v>
      </c>
      <c r="C67" s="168">
        <f>'4_Präsenz'!$N$30</f>
        <v>70</v>
      </c>
      <c r="E67" s="173" t="str">
        <f>IF('4_Präsenz'!H31&lt;&gt;"",'4_Präsenz'!H31,"")</f>
        <v/>
      </c>
      <c r="F67" s="174" t="str">
        <f t="shared" si="5"/>
        <v/>
      </c>
      <c r="H67" s="172" t="str">
        <f>IF('4_Präsenz'!I31&lt;&gt;"",'4_Präsenz'!I31,"")</f>
        <v/>
      </c>
      <c r="I67" s="168" t="str">
        <f>IF(H67&lt;&gt;"",'4_Präsenz'!$N$32,"")</f>
        <v/>
      </c>
      <c r="J67" s="103"/>
      <c r="N67" s="172" t="str">
        <f>IF('4_Präsenz'!J31&lt;&gt;"",'4_Präsenz'!J31,"")</f>
        <v/>
      </c>
      <c r="O67" s="168" t="str">
        <f>IF(N67&lt;&gt;"",'4_Präsenz'!$N$33,"")</f>
        <v/>
      </c>
      <c r="P67" s="103"/>
      <c r="Q67" s="103"/>
      <c r="S67" s="180" t="str">
        <f>IF('4_Präsenz'!K31&lt;&gt;"",'4_Präsenz'!K31,"")</f>
        <v/>
      </c>
      <c r="T67" s="174" t="str">
        <f t="shared" si="6"/>
        <v/>
      </c>
    </row>
    <row r="68" spans="2:20" s="32" customFormat="1" ht="12.75" hidden="1" x14ac:dyDescent="0.2">
      <c r="B68" s="128">
        <f>IF('4_Präsenz'!G32&lt;&gt;"",'4_Präsenz'!G32,"")</f>
        <v>32</v>
      </c>
      <c r="C68" s="168">
        <f>'4_Präsenz'!$N$30</f>
        <v>70</v>
      </c>
      <c r="E68" s="173" t="str">
        <f>IF('4_Präsenz'!H32&lt;&gt;"",'4_Präsenz'!H32,"")</f>
        <v/>
      </c>
      <c r="F68" s="174" t="str">
        <f t="shared" si="5"/>
        <v/>
      </c>
      <c r="H68" s="172" t="str">
        <f>IF('4_Präsenz'!I32&lt;&gt;"",'4_Präsenz'!I32,"")</f>
        <v/>
      </c>
      <c r="I68" s="168" t="str">
        <f>IF(H68&lt;&gt;"",'4_Präsenz'!$N$32,"")</f>
        <v/>
      </c>
      <c r="J68" s="103"/>
      <c r="N68" s="172" t="str">
        <f>IF('4_Präsenz'!J32&lt;&gt;"",'4_Präsenz'!J32,"")</f>
        <v/>
      </c>
      <c r="O68" s="168" t="str">
        <f>IF(N68&lt;&gt;"",'4_Präsenz'!$N$33,"")</f>
        <v/>
      </c>
      <c r="P68" s="103"/>
      <c r="Q68" s="103"/>
      <c r="S68" s="180" t="str">
        <f>IF('4_Präsenz'!K32&lt;&gt;"",'4_Präsenz'!K32,"")</f>
        <v/>
      </c>
      <c r="T68" s="174" t="str">
        <f t="shared" si="6"/>
        <v/>
      </c>
    </row>
    <row r="69" spans="2:20" s="32" customFormat="1" ht="12.75" hidden="1" x14ac:dyDescent="0.2">
      <c r="B69" s="130">
        <f>IF('4_Präsenz'!G33&lt;&gt;"",'4_Präsenz'!G33,"")</f>
        <v>32</v>
      </c>
      <c r="C69" s="168">
        <f>'4_Präsenz'!$N$30</f>
        <v>70</v>
      </c>
      <c r="E69" s="175" t="str">
        <f>IF('4_Präsenz'!H33&lt;&gt;"",'4_Präsenz'!H33,"")</f>
        <v/>
      </c>
      <c r="F69" s="176" t="str">
        <f t="shared" si="5"/>
        <v/>
      </c>
      <c r="H69" s="172" t="str">
        <f>IF('4_Präsenz'!I33&lt;&gt;"",'4_Präsenz'!I33,"")</f>
        <v/>
      </c>
      <c r="I69" s="168" t="str">
        <f>IF(H69&lt;&gt;"",'4_Präsenz'!$N$32,"")</f>
        <v/>
      </c>
      <c r="J69" s="103"/>
      <c r="N69" s="172" t="str">
        <f>IF('4_Präsenz'!J33&lt;&gt;"",'4_Präsenz'!J33,"")</f>
        <v/>
      </c>
      <c r="O69" s="168" t="str">
        <f>IF(N69&lt;&gt;"",'4_Präsenz'!$N$33,"")</f>
        <v/>
      </c>
      <c r="P69" s="103"/>
      <c r="Q69" s="103"/>
      <c r="S69" s="181" t="str">
        <f>IF('4_Präsenz'!K33&lt;&gt;"",'4_Präsenz'!K33,"")</f>
        <v/>
      </c>
      <c r="T69" s="176" t="str">
        <f t="shared" si="6"/>
        <v/>
      </c>
    </row>
    <row r="70" spans="2:20" s="32" customFormat="1" ht="13.5" hidden="1" thickBot="1" x14ac:dyDescent="0.25">
      <c r="B70" s="169">
        <f>SUM(B50:B69)</f>
        <v>864</v>
      </c>
      <c r="C70" s="156"/>
      <c r="E70" s="177">
        <f>IF(SUM(E50:E69)&lt;&gt;"0",SUM(E50:E65),"0")</f>
        <v>8</v>
      </c>
      <c r="F70" s="156"/>
      <c r="H70" s="177">
        <f>IF(SUM(H50:H69)&lt;&gt;"0",SUM(H50:H65),"0")</f>
        <v>9</v>
      </c>
      <c r="I70" s="156"/>
      <c r="J70" s="60"/>
      <c r="N70" s="177">
        <f>IF(SUM(N50:N69)&lt;&gt;"0",SUM(N50:N65),"0")</f>
        <v>5</v>
      </c>
      <c r="O70" s="156"/>
      <c r="P70" s="60"/>
      <c r="Q70" s="60"/>
      <c r="S70" s="177">
        <f>SUM(S50:S69)</f>
        <v>192</v>
      </c>
      <c r="T70" s="156"/>
    </row>
    <row r="71" spans="2:20" hidden="1" x14ac:dyDescent="0.25"/>
  </sheetData>
  <sheetProtection password="C2D2" sheet="1" objects="1" scenarios="1"/>
  <mergeCells count="1">
    <mergeCell ref="C2:F2"/>
  </mergeCells>
  <pageMargins left="0.7" right="0.7" top="0.78740157499999996" bottom="0.78740157499999996" header="0.3" footer="0.3"/>
  <pageSetup paperSize="9" scale="75" orientation="landscape" r:id="rId1"/>
  <headerFooter>
    <oddHeader xml:space="preserve">&amp;R&amp;7 4.1_Nebenberechnung_Präsenzkosten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B1:S47"/>
  <sheetViews>
    <sheetView showGridLines="0" zoomScale="115" zoomScaleNormal="115" workbookViewId="0">
      <selection activeCell="I38" sqref="I38"/>
    </sheetView>
  </sheetViews>
  <sheetFormatPr baseColWidth="10" defaultColWidth="11.42578125" defaultRowHeight="12.75" x14ac:dyDescent="0.2"/>
  <cols>
    <col min="1" max="1" width="11.7109375" style="34" customWidth="1"/>
    <col min="2" max="2" width="29.28515625" style="34" customWidth="1"/>
    <col min="3" max="3" width="16.140625" style="34" customWidth="1"/>
    <col min="4" max="4" width="9.85546875" style="34" customWidth="1"/>
    <col min="5" max="5" width="7.85546875" style="34" customWidth="1"/>
    <col min="6" max="6" width="10.85546875" style="34" customWidth="1"/>
    <col min="7" max="7" width="21.7109375" style="34" customWidth="1"/>
    <col min="8" max="8" width="22" style="34" customWidth="1"/>
    <col min="9" max="9" width="19.42578125" style="34" customWidth="1"/>
    <col min="10" max="10" width="7.140625" style="34" customWidth="1"/>
    <col min="11" max="11" width="24.5703125" style="34" customWidth="1"/>
    <col min="12" max="12" width="11.28515625" style="34" customWidth="1"/>
    <col min="13" max="13" width="12" style="34" customWidth="1"/>
    <col min="14" max="14" width="5.5703125" style="34" customWidth="1"/>
    <col min="15" max="15" width="6.85546875" style="34" customWidth="1"/>
    <col min="16" max="16" width="11.7109375" style="34" customWidth="1"/>
    <col min="17" max="17" width="16" style="34" customWidth="1"/>
    <col min="18" max="18" width="14" style="34" customWidth="1"/>
    <col min="19" max="19" width="14.7109375" style="34" customWidth="1"/>
    <col min="20" max="20" width="15.5703125" style="34" customWidth="1"/>
    <col min="21" max="21" width="11.5703125" style="34" customWidth="1"/>
    <col min="22" max="22" width="9" style="34" customWidth="1"/>
    <col min="23" max="16384" width="11.42578125" style="34"/>
  </cols>
  <sheetData>
    <row r="1" spans="2:19" ht="13.5" thickBot="1" x14ac:dyDescent="0.25">
      <c r="B1" s="28"/>
    </row>
    <row r="2" spans="2:19" ht="13.5" thickBot="1" x14ac:dyDescent="0.25">
      <c r="B2" s="28"/>
      <c r="E2" s="484" t="str">
        <f>Studiengangsbezeichnung</f>
        <v>Musterstudiengang</v>
      </c>
      <c r="F2" s="485"/>
      <c r="G2" s="485"/>
      <c r="H2" s="486"/>
      <c r="K2" s="11" t="s">
        <v>33</v>
      </c>
      <c r="L2" s="25">
        <f>Stand_Datum</f>
        <v>43564</v>
      </c>
      <c r="M2" s="392" t="s">
        <v>105</v>
      </c>
      <c r="N2" s="26"/>
    </row>
    <row r="3" spans="2:19" x14ac:dyDescent="0.2">
      <c r="M3" s="393" t="s">
        <v>106</v>
      </c>
      <c r="N3" s="26"/>
    </row>
    <row r="5" spans="2:19" x14ac:dyDescent="0.2">
      <c r="F5" s="27"/>
      <c r="G5" s="27"/>
      <c r="H5" s="27"/>
      <c r="I5" s="27"/>
      <c r="L5" s="189"/>
      <c r="R5" s="27"/>
    </row>
    <row r="6" spans="2:19" x14ac:dyDescent="0.2">
      <c r="F6" s="27"/>
      <c r="G6" s="27"/>
      <c r="H6" s="27"/>
      <c r="I6" s="27"/>
      <c r="L6" s="189"/>
      <c r="R6" s="27"/>
    </row>
    <row r="7" spans="2:19" x14ac:dyDescent="0.2">
      <c r="F7" s="27"/>
      <c r="G7" s="27"/>
      <c r="H7" s="27"/>
      <c r="I7" s="27"/>
      <c r="L7" s="189"/>
      <c r="R7" s="27"/>
    </row>
    <row r="8" spans="2:19" x14ac:dyDescent="0.2">
      <c r="C8" s="41"/>
      <c r="D8" s="41"/>
      <c r="E8" s="27"/>
      <c r="F8" s="27"/>
      <c r="G8" s="27"/>
      <c r="H8" s="27"/>
      <c r="I8" s="27"/>
      <c r="Q8" s="27"/>
      <c r="R8" s="27"/>
      <c r="S8" s="27"/>
    </row>
    <row r="9" spans="2:19" x14ac:dyDescent="0.2">
      <c r="B9" s="47" t="s">
        <v>119</v>
      </c>
      <c r="C9" s="41"/>
      <c r="D9" s="41"/>
      <c r="E9" s="27"/>
      <c r="F9" s="27"/>
      <c r="G9" s="27"/>
      <c r="H9" s="27"/>
      <c r="I9" s="27"/>
      <c r="Q9" s="27"/>
      <c r="R9" s="27"/>
      <c r="S9" s="27"/>
    </row>
    <row r="10" spans="2:19" ht="20.25" customHeight="1" x14ac:dyDescent="0.2">
      <c r="B10" s="191"/>
      <c r="C10" s="41"/>
      <c r="D10" s="41"/>
      <c r="E10" s="27"/>
      <c r="F10" s="27"/>
      <c r="G10" s="27"/>
      <c r="H10" s="27"/>
      <c r="I10" s="27"/>
      <c r="Q10" s="27"/>
      <c r="R10" s="27"/>
      <c r="S10" s="27"/>
    </row>
    <row r="11" spans="2:19" ht="13.5" thickBot="1" x14ac:dyDescent="0.25">
      <c r="B11" s="47" t="s">
        <v>120</v>
      </c>
      <c r="C11" s="41"/>
      <c r="D11" s="41"/>
      <c r="E11" s="27"/>
      <c r="F11" s="27"/>
      <c r="G11" s="27"/>
      <c r="H11" s="27"/>
      <c r="I11" s="27"/>
      <c r="Q11" s="27"/>
      <c r="R11" s="27"/>
      <c r="S11" s="27"/>
    </row>
    <row r="12" spans="2:19" ht="28.5" customHeight="1" x14ac:dyDescent="0.25">
      <c r="B12" s="493" t="s">
        <v>57</v>
      </c>
      <c r="C12" s="473" t="s">
        <v>236</v>
      </c>
      <c r="D12" s="474"/>
      <c r="E12" s="475"/>
      <c r="F12" s="470" t="s">
        <v>76</v>
      </c>
      <c r="G12" s="312" t="s">
        <v>238</v>
      </c>
      <c r="H12" s="298" t="s">
        <v>202</v>
      </c>
      <c r="I12" s="413" t="s">
        <v>237</v>
      </c>
      <c r="J12" s="27"/>
      <c r="K12" s="384" t="s">
        <v>138</v>
      </c>
      <c r="L12" s="385"/>
      <c r="M12" s="309"/>
      <c r="Q12" s="27"/>
      <c r="R12" s="27"/>
      <c r="S12" s="27"/>
    </row>
    <row r="13" spans="2:19" ht="24" customHeight="1" x14ac:dyDescent="0.2">
      <c r="B13" s="494"/>
      <c r="C13" s="471" t="s">
        <v>71</v>
      </c>
      <c r="D13" s="471" t="s">
        <v>41</v>
      </c>
      <c r="E13" s="471" t="s">
        <v>72</v>
      </c>
      <c r="F13" s="472" t="s">
        <v>75</v>
      </c>
      <c r="G13" s="397" t="s">
        <v>204</v>
      </c>
      <c r="H13" s="397" t="s">
        <v>203</v>
      </c>
      <c r="I13" s="299" t="s">
        <v>175</v>
      </c>
      <c r="J13" s="27"/>
      <c r="K13" s="241" t="s">
        <v>21</v>
      </c>
      <c r="L13" s="242"/>
      <c r="M13" s="383">
        <f>Dauer_Studium</f>
        <v>5</v>
      </c>
      <c r="Q13" s="27"/>
      <c r="R13" s="27"/>
      <c r="S13" s="27"/>
    </row>
    <row r="14" spans="2:19" x14ac:dyDescent="0.2">
      <c r="B14" s="161" t="str">
        <f>IF('3.1_Nebenberechnungen'!B10&lt;&gt;"",'3.1_Nebenberechnungen'!B10,"")</f>
        <v>1 Mathematik</v>
      </c>
      <c r="C14" s="192"/>
      <c r="D14" s="192"/>
      <c r="E14" s="192" t="s">
        <v>34</v>
      </c>
      <c r="F14" s="37">
        <v>120</v>
      </c>
      <c r="G14" s="37"/>
      <c r="H14" s="399"/>
      <c r="I14" s="193">
        <f t="shared" ref="I14:I33" si="0">IF(F14="","",IF(F14&lt;120,4,IF(F14&gt;=120,8,"")))</f>
        <v>8</v>
      </c>
      <c r="J14" s="27"/>
      <c r="K14" s="390" t="s">
        <v>182</v>
      </c>
      <c r="L14" s="389"/>
      <c r="M14" s="109">
        <f>'1_Allg_Angaben'!I13</f>
        <v>83</v>
      </c>
      <c r="Q14" s="27"/>
      <c r="R14" s="27"/>
      <c r="S14" s="27"/>
    </row>
    <row r="15" spans="2:19" x14ac:dyDescent="0.2">
      <c r="B15" s="161" t="str">
        <f>IF('3.1_Nebenberechnungen'!B11&lt;&gt;"",'3.1_Nebenberechnungen'!B11,"")</f>
        <v>2 Mechanik</v>
      </c>
      <c r="C15" s="192"/>
      <c r="D15" s="192"/>
      <c r="E15" s="192" t="s">
        <v>34</v>
      </c>
      <c r="F15" s="37">
        <v>90</v>
      </c>
      <c r="G15" s="37"/>
      <c r="H15" s="399"/>
      <c r="I15" s="193">
        <f t="shared" si="0"/>
        <v>4</v>
      </c>
      <c r="J15" s="27"/>
      <c r="K15" s="390" t="s">
        <v>135</v>
      </c>
      <c r="L15" s="389"/>
      <c r="M15" s="386">
        <f>SUM(L42:L46)</f>
        <v>18510.52</v>
      </c>
      <c r="Q15" s="27"/>
      <c r="R15" s="27"/>
      <c r="S15" s="27"/>
    </row>
    <row r="16" spans="2:19" x14ac:dyDescent="0.2">
      <c r="B16" s="161" t="str">
        <f>IF('3.1_Nebenberechnungen'!B12&lt;&gt;"",'3.1_Nebenberechnungen'!B12,"")</f>
        <v>3 Konstruktionstechnik</v>
      </c>
      <c r="C16" s="192"/>
      <c r="D16" s="192"/>
      <c r="E16" s="192" t="s">
        <v>34</v>
      </c>
      <c r="F16" s="37">
        <v>90</v>
      </c>
      <c r="G16" s="37"/>
      <c r="H16" s="399"/>
      <c r="I16" s="193">
        <f t="shared" si="0"/>
        <v>4</v>
      </c>
      <c r="J16" s="27"/>
      <c r="K16" s="387" t="s">
        <v>196</v>
      </c>
      <c r="L16" s="388"/>
      <c r="M16" s="381">
        <v>700</v>
      </c>
      <c r="Q16" s="27"/>
      <c r="R16" s="27"/>
      <c r="S16" s="27"/>
    </row>
    <row r="17" spans="2:19" x14ac:dyDescent="0.2">
      <c r="B17" s="161" t="str">
        <f>IF('3.1_Nebenberechnungen'!B13&lt;&gt;"",'3.1_Nebenberechnungen'!B13,"")</f>
        <v>4 Einführung in die Programmierung</v>
      </c>
      <c r="C17" s="192" t="s">
        <v>34</v>
      </c>
      <c r="D17" s="192" t="s">
        <v>34</v>
      </c>
      <c r="E17" s="192"/>
      <c r="F17" s="37"/>
      <c r="G17" s="37">
        <v>35</v>
      </c>
      <c r="H17" s="399">
        <v>2</v>
      </c>
      <c r="I17" s="193" t="str">
        <f t="shared" si="0"/>
        <v/>
      </c>
      <c r="J17" s="27"/>
      <c r="K17" s="241" t="s">
        <v>197</v>
      </c>
      <c r="L17" s="242"/>
      <c r="M17" s="381">
        <v>180</v>
      </c>
      <c r="Q17" s="27"/>
      <c r="R17" s="27"/>
      <c r="S17" s="27"/>
    </row>
    <row r="18" spans="2:19" ht="13.5" thickBot="1" x14ac:dyDescent="0.25">
      <c r="B18" s="161" t="str">
        <f>IF('3.1_Nebenberechnungen'!B14&lt;&gt;"",'3.1_Nebenberechnungen'!B14,"")</f>
        <v>5 Werkstoffkunde</v>
      </c>
      <c r="C18" s="192" t="s">
        <v>34</v>
      </c>
      <c r="D18" s="192"/>
      <c r="E18" s="192"/>
      <c r="F18" s="37"/>
      <c r="G18" s="37">
        <v>35</v>
      </c>
      <c r="H18" s="399"/>
      <c r="I18" s="193" t="str">
        <f t="shared" si="0"/>
        <v/>
      </c>
      <c r="J18" s="27"/>
      <c r="K18" s="239" t="s">
        <v>42</v>
      </c>
      <c r="L18" s="240"/>
      <c r="M18" s="382">
        <f>((SUM(L42:L44)/M14)+L45+L46+M16+M17)/M13</f>
        <v>354.08</v>
      </c>
      <c r="Q18" s="27"/>
      <c r="R18" s="27"/>
      <c r="S18" s="27"/>
    </row>
    <row r="19" spans="2:19" x14ac:dyDescent="0.2">
      <c r="B19" s="161" t="str">
        <f>IF('3.1_Nebenberechnungen'!B15&lt;&gt;"",'3.1_Nebenberechnungen'!B15,"")</f>
        <v>6</v>
      </c>
      <c r="C19" s="192"/>
      <c r="D19" s="192"/>
      <c r="E19" s="192" t="s">
        <v>34</v>
      </c>
      <c r="F19" s="37">
        <v>90</v>
      </c>
      <c r="G19" s="37"/>
      <c r="H19" s="399"/>
      <c r="I19" s="193">
        <f t="shared" si="0"/>
        <v>4</v>
      </c>
      <c r="J19" s="27"/>
      <c r="Q19" s="27"/>
      <c r="R19" s="27"/>
      <c r="S19" s="27"/>
    </row>
    <row r="20" spans="2:19" x14ac:dyDescent="0.2">
      <c r="B20" s="161">
        <f>IF('3.1_Nebenberechnungen'!B16&lt;&gt;"",'3.1_Nebenberechnungen'!B16,"")</f>
        <v>7</v>
      </c>
      <c r="C20" s="192"/>
      <c r="D20" s="192"/>
      <c r="E20" s="192" t="s">
        <v>34</v>
      </c>
      <c r="F20" s="37">
        <v>90</v>
      </c>
      <c r="G20" s="37"/>
      <c r="H20" s="399"/>
      <c r="I20" s="193">
        <f t="shared" si="0"/>
        <v>4</v>
      </c>
      <c r="J20" s="27"/>
      <c r="Q20" s="27"/>
      <c r="R20" s="27"/>
      <c r="S20" s="27"/>
    </row>
    <row r="21" spans="2:19" x14ac:dyDescent="0.2">
      <c r="B21" s="161">
        <f>IF('3.1_Nebenberechnungen'!B17&lt;&gt;"",'3.1_Nebenberechnungen'!B17,"")</f>
        <v>8</v>
      </c>
      <c r="C21" s="192"/>
      <c r="D21" s="192"/>
      <c r="E21" s="192" t="s">
        <v>34</v>
      </c>
      <c r="F21" s="37">
        <v>90</v>
      </c>
      <c r="G21" s="37"/>
      <c r="H21" s="399"/>
      <c r="I21" s="193">
        <f t="shared" si="0"/>
        <v>4</v>
      </c>
      <c r="J21" s="27"/>
      <c r="Q21" s="27"/>
      <c r="R21" s="27"/>
      <c r="S21" s="27"/>
    </row>
    <row r="22" spans="2:19" x14ac:dyDescent="0.2">
      <c r="B22" s="161">
        <f>IF('3.1_Nebenberechnungen'!B18&lt;&gt;"",'3.1_Nebenberechnungen'!B18,"")</f>
        <v>9</v>
      </c>
      <c r="C22" s="192" t="s">
        <v>34</v>
      </c>
      <c r="D22" s="192" t="s">
        <v>34</v>
      </c>
      <c r="E22" s="192"/>
      <c r="F22" s="37"/>
      <c r="G22" s="37">
        <v>35</v>
      </c>
      <c r="H22" s="399">
        <v>2</v>
      </c>
      <c r="I22" s="193" t="str">
        <f t="shared" si="0"/>
        <v/>
      </c>
      <c r="J22" s="27"/>
      <c r="Q22" s="27"/>
      <c r="R22" s="27"/>
      <c r="S22" s="27"/>
    </row>
    <row r="23" spans="2:19" x14ac:dyDescent="0.2">
      <c r="B23" s="161">
        <f>IF('3.1_Nebenberechnungen'!B19&lt;&gt;"",'3.1_Nebenberechnungen'!B19,"")</f>
        <v>10</v>
      </c>
      <c r="C23" s="192"/>
      <c r="D23" s="192"/>
      <c r="E23" s="192" t="s">
        <v>34</v>
      </c>
      <c r="F23" s="37">
        <v>120</v>
      </c>
      <c r="G23" s="37"/>
      <c r="H23" s="399"/>
      <c r="I23" s="193">
        <f t="shared" si="0"/>
        <v>8</v>
      </c>
      <c r="J23" s="27"/>
      <c r="Q23" s="27"/>
      <c r="R23" s="27"/>
      <c r="S23" s="27"/>
    </row>
    <row r="24" spans="2:19" x14ac:dyDescent="0.2">
      <c r="B24" s="161">
        <f>IF('3.1_Nebenberechnungen'!B20&lt;&gt;"",'3.1_Nebenberechnungen'!B20,"")</f>
        <v>11</v>
      </c>
      <c r="C24" s="192" t="s">
        <v>34</v>
      </c>
      <c r="D24" s="192"/>
      <c r="E24" s="192"/>
      <c r="F24" s="37"/>
      <c r="G24" s="37">
        <v>35</v>
      </c>
      <c r="H24" s="399"/>
      <c r="I24" s="193" t="str">
        <f t="shared" si="0"/>
        <v/>
      </c>
      <c r="J24" s="27"/>
      <c r="Q24" s="27"/>
      <c r="R24" s="27"/>
      <c r="S24" s="27"/>
    </row>
    <row r="25" spans="2:19" x14ac:dyDescent="0.2">
      <c r="B25" s="161">
        <f>IF('3.1_Nebenberechnungen'!B21&lt;&gt;"",'3.1_Nebenberechnungen'!B21,"")</f>
        <v>12</v>
      </c>
      <c r="C25" s="192" t="s">
        <v>34</v>
      </c>
      <c r="D25" s="192" t="s">
        <v>34</v>
      </c>
      <c r="E25" s="192"/>
      <c r="F25" s="37"/>
      <c r="G25" s="37">
        <v>35</v>
      </c>
      <c r="H25" s="399">
        <v>2</v>
      </c>
      <c r="I25" s="193" t="str">
        <f t="shared" si="0"/>
        <v/>
      </c>
      <c r="J25" s="27"/>
      <c r="Q25" s="27"/>
      <c r="R25" s="27"/>
      <c r="S25" s="27"/>
    </row>
    <row r="26" spans="2:19" x14ac:dyDescent="0.2">
      <c r="B26" s="161">
        <f>IF('3.1_Nebenberechnungen'!B22&lt;&gt;"",'3.1_Nebenberechnungen'!B22,"")</f>
        <v>13</v>
      </c>
      <c r="C26" s="192"/>
      <c r="D26" s="192"/>
      <c r="E26" s="192" t="s">
        <v>34</v>
      </c>
      <c r="F26" s="37">
        <v>120</v>
      </c>
      <c r="G26" s="37"/>
      <c r="H26" s="399"/>
      <c r="I26" s="193">
        <f t="shared" si="0"/>
        <v>8</v>
      </c>
      <c r="J26" s="27"/>
      <c r="Q26" s="27"/>
      <c r="R26" s="27"/>
      <c r="S26" s="27"/>
    </row>
    <row r="27" spans="2:19" ht="13.5" thickBot="1" x14ac:dyDescent="0.25">
      <c r="B27" s="161">
        <f>IF('3.1_Nebenberechnungen'!B23&lt;&gt;"",'3.1_Nebenberechnungen'!B23,"")</f>
        <v>14</v>
      </c>
      <c r="C27" s="192"/>
      <c r="D27" s="192"/>
      <c r="E27" s="192" t="s">
        <v>34</v>
      </c>
      <c r="F27" s="37">
        <v>120</v>
      </c>
      <c r="G27" s="37"/>
      <c r="H27" s="399"/>
      <c r="I27" s="193">
        <f t="shared" si="0"/>
        <v>8</v>
      </c>
      <c r="J27" s="27"/>
      <c r="K27" s="33" t="s">
        <v>98</v>
      </c>
      <c r="Q27" s="27"/>
      <c r="R27" s="27"/>
      <c r="S27" s="27"/>
    </row>
    <row r="28" spans="2:19" ht="15" x14ac:dyDescent="0.25">
      <c r="B28" s="161">
        <f>IF('3.1_Nebenberechnungen'!B24&lt;&gt;"",'3.1_Nebenberechnungen'!B24,"")</f>
        <v>15</v>
      </c>
      <c r="C28" s="192" t="s">
        <v>34</v>
      </c>
      <c r="D28" s="192"/>
      <c r="E28" s="192"/>
      <c r="F28" s="37"/>
      <c r="G28" s="37">
        <v>35</v>
      </c>
      <c r="H28" s="399"/>
      <c r="I28" s="193" t="str">
        <f t="shared" si="0"/>
        <v/>
      </c>
      <c r="J28" s="27"/>
      <c r="K28" s="230" t="s">
        <v>39</v>
      </c>
      <c r="L28" s="313"/>
      <c r="M28" s="85" t="s">
        <v>195</v>
      </c>
      <c r="Q28" s="27"/>
      <c r="R28" s="27"/>
      <c r="S28" s="27"/>
    </row>
    <row r="29" spans="2:19" x14ac:dyDescent="0.2">
      <c r="B29" s="161">
        <f>IF('3.1_Nebenberechnungen'!B25&lt;&gt;"",'3.1_Nebenberechnungen'!B25,"")</f>
        <v>16</v>
      </c>
      <c r="C29" s="192"/>
      <c r="D29" s="192"/>
      <c r="E29" s="192" t="s">
        <v>34</v>
      </c>
      <c r="F29" s="37">
        <v>90</v>
      </c>
      <c r="G29" s="37"/>
      <c r="H29" s="399"/>
      <c r="I29" s="193">
        <f t="shared" si="0"/>
        <v>4</v>
      </c>
      <c r="J29" s="27"/>
      <c r="K29" s="391" t="s">
        <v>198</v>
      </c>
      <c r="L29" s="242"/>
      <c r="M29" s="222">
        <v>70</v>
      </c>
      <c r="Q29" s="27"/>
      <c r="R29" s="27"/>
      <c r="S29" s="27"/>
    </row>
    <row r="30" spans="2:19" x14ac:dyDescent="0.2">
      <c r="B30" s="161">
        <f>IF('3.1_Nebenberechnungen'!B26&lt;&gt;"",'3.1_Nebenberechnungen'!B26,"")</f>
        <v>17</v>
      </c>
      <c r="C30" s="192"/>
      <c r="D30" s="192"/>
      <c r="E30" s="192" t="s">
        <v>34</v>
      </c>
      <c r="F30" s="37">
        <v>120</v>
      </c>
      <c r="G30" s="37"/>
      <c r="H30" s="399"/>
      <c r="I30" s="193">
        <f t="shared" si="0"/>
        <v>8</v>
      </c>
      <c r="J30" s="27"/>
      <c r="K30" s="391" t="s">
        <v>199</v>
      </c>
      <c r="L30" s="242"/>
      <c r="M30" s="222">
        <v>30</v>
      </c>
      <c r="Q30" s="27"/>
      <c r="R30" s="27"/>
      <c r="S30" s="27"/>
    </row>
    <row r="31" spans="2:19" x14ac:dyDescent="0.2">
      <c r="B31" s="161">
        <f>IF('3.1_Nebenberechnungen'!B27&lt;&gt;"",'3.1_Nebenberechnungen'!B27,"")</f>
        <v>18</v>
      </c>
      <c r="C31" s="192"/>
      <c r="D31" s="192"/>
      <c r="E31" s="192" t="s">
        <v>34</v>
      </c>
      <c r="F31" s="37">
        <v>90</v>
      </c>
      <c r="G31" s="37"/>
      <c r="H31" s="399"/>
      <c r="I31" s="193">
        <f t="shared" si="0"/>
        <v>4</v>
      </c>
      <c r="J31" s="27"/>
      <c r="K31" s="391" t="s">
        <v>188</v>
      </c>
      <c r="L31" s="242"/>
      <c r="M31" s="398">
        <v>30</v>
      </c>
      <c r="Q31" s="27"/>
      <c r="R31" s="27"/>
      <c r="S31" s="27"/>
    </row>
    <row r="32" spans="2:19" x14ac:dyDescent="0.2">
      <c r="B32" s="161">
        <f>IF('3.1_Nebenberechnungen'!B28&lt;&gt;"",'3.1_Nebenberechnungen'!B28,"")</f>
        <v>19</v>
      </c>
      <c r="C32" s="192" t="s">
        <v>34</v>
      </c>
      <c r="D32" s="192" t="s">
        <v>34</v>
      </c>
      <c r="E32" s="192"/>
      <c r="F32" s="37">
        <v>90</v>
      </c>
      <c r="G32" s="37">
        <v>35</v>
      </c>
      <c r="H32" s="399">
        <v>2</v>
      </c>
      <c r="I32" s="193">
        <f t="shared" si="0"/>
        <v>4</v>
      </c>
      <c r="J32" s="27"/>
      <c r="K32" s="391" t="s">
        <v>200</v>
      </c>
      <c r="L32" s="242"/>
      <c r="M32" s="222">
        <v>10</v>
      </c>
      <c r="Q32" s="27"/>
      <c r="R32" s="27"/>
      <c r="S32" s="27"/>
    </row>
    <row r="33" spans="2:19" x14ac:dyDescent="0.2">
      <c r="B33" s="161">
        <f>IF('3.1_Nebenberechnungen'!B29&lt;&gt;"",'3.1_Nebenberechnungen'!B29,"")</f>
        <v>20</v>
      </c>
      <c r="C33" s="192" t="s">
        <v>34</v>
      </c>
      <c r="D33" s="192"/>
      <c r="E33" s="192"/>
      <c r="F33" s="37">
        <v>90</v>
      </c>
      <c r="G33" s="37">
        <v>35</v>
      </c>
      <c r="H33" s="399"/>
      <c r="I33" s="193">
        <f t="shared" si="0"/>
        <v>4</v>
      </c>
      <c r="J33" s="27"/>
      <c r="K33" s="391" t="s">
        <v>201</v>
      </c>
      <c r="L33" s="242"/>
      <c r="M33" s="222">
        <v>17.5</v>
      </c>
      <c r="Q33" s="27"/>
      <c r="R33" s="27"/>
      <c r="S33" s="27"/>
    </row>
    <row r="34" spans="2:19" ht="13.5" thickBot="1" x14ac:dyDescent="0.25">
      <c r="B34" s="92" t="str">
        <f>IF('3.1_Nebenberechnungen'!B30&lt;&gt;"",'3.1_Nebenberechnungen'!B30,"")</f>
        <v>Summe</v>
      </c>
      <c r="C34" s="395">
        <f>COUNTA(C14:C33)</f>
        <v>8</v>
      </c>
      <c r="D34" s="395">
        <f>COUNTA(D14:D33)</f>
        <v>4</v>
      </c>
      <c r="E34" s="395">
        <f>COUNTA(E14:E33)</f>
        <v>12</v>
      </c>
      <c r="F34" s="395">
        <f>SUM(F14:F33)</f>
        <v>1410</v>
      </c>
      <c r="G34" s="395">
        <f>SUM(G14:G33)</f>
        <v>280</v>
      </c>
      <c r="H34" s="394">
        <f>SUM(H14:H33)</f>
        <v>8</v>
      </c>
      <c r="I34" s="396">
        <f>SUM(I14:I33)</f>
        <v>76</v>
      </c>
      <c r="J34" s="27"/>
      <c r="K34" s="314" t="s">
        <v>189</v>
      </c>
      <c r="L34" s="315"/>
      <c r="M34" s="223">
        <v>35</v>
      </c>
      <c r="Q34" s="27"/>
      <c r="R34" s="27"/>
      <c r="S34" s="27"/>
    </row>
    <row r="35" spans="2:19" x14ac:dyDescent="0.2">
      <c r="B35" s="28"/>
      <c r="C35" s="224"/>
      <c r="D35" s="224"/>
      <c r="E35" s="224"/>
      <c r="F35" s="224"/>
      <c r="G35" s="224"/>
      <c r="H35" s="224"/>
      <c r="I35" s="27"/>
      <c r="Q35" s="27"/>
      <c r="R35" s="27"/>
      <c r="S35" s="27"/>
    </row>
    <row r="36" spans="2:19" x14ac:dyDescent="0.2">
      <c r="B36" s="28"/>
      <c r="C36" s="224"/>
      <c r="D36" s="224"/>
      <c r="E36" s="224"/>
      <c r="F36" s="224"/>
      <c r="G36" s="224"/>
      <c r="H36" s="224"/>
      <c r="I36" s="27"/>
      <c r="Q36" s="27"/>
      <c r="R36" s="27"/>
      <c r="S36" s="27"/>
    </row>
    <row r="37" spans="2:19" x14ac:dyDescent="0.2">
      <c r="B37" s="28"/>
      <c r="C37" s="224"/>
      <c r="D37" s="224"/>
      <c r="E37" s="224"/>
      <c r="F37" s="224"/>
      <c r="G37" s="224"/>
      <c r="H37" s="224"/>
      <c r="I37" s="27"/>
      <c r="Q37" s="27"/>
      <c r="R37" s="27"/>
      <c r="S37" s="27"/>
    </row>
    <row r="38" spans="2:19" x14ac:dyDescent="0.2">
      <c r="B38" s="27"/>
      <c r="C38" s="27"/>
      <c r="D38" s="27"/>
      <c r="E38" s="27"/>
      <c r="F38" s="27"/>
      <c r="G38" s="27"/>
      <c r="H38" s="27"/>
      <c r="I38" s="27"/>
      <c r="R38" s="27"/>
      <c r="S38" s="27"/>
    </row>
    <row r="40" spans="2:19" hidden="1" x14ac:dyDescent="0.2">
      <c r="B40" s="33"/>
      <c r="F40" s="27"/>
      <c r="G40" s="27"/>
      <c r="H40" s="27"/>
      <c r="I40" s="27"/>
      <c r="J40" s="197" t="s">
        <v>116</v>
      </c>
      <c r="K40" s="197"/>
      <c r="L40" s="197"/>
      <c r="Q40" s="27"/>
      <c r="R40" s="27"/>
      <c r="S40" s="27"/>
    </row>
    <row r="41" spans="2:19" hidden="1" x14ac:dyDescent="0.2">
      <c r="B41" s="33"/>
      <c r="F41" s="27"/>
      <c r="G41" s="27"/>
      <c r="H41" s="27"/>
      <c r="I41" s="27"/>
      <c r="Q41" s="27"/>
      <c r="R41" s="27"/>
      <c r="S41" s="27"/>
    </row>
    <row r="42" spans="2:19" hidden="1" x14ac:dyDescent="0.2">
      <c r="B42" s="33"/>
      <c r="F42" s="27"/>
      <c r="G42" s="27"/>
      <c r="H42" s="27"/>
      <c r="I42" s="27"/>
      <c r="J42" s="495" t="str">
        <f>'5.1_Nebenberechnungen'!F10</f>
        <v xml:space="preserve">Klausurerstellung </v>
      </c>
      <c r="K42" s="496"/>
      <c r="L42" s="194">
        <f>Summe_Klausur_Erst_Korr</f>
        <v>2280</v>
      </c>
      <c r="Q42" s="27"/>
      <c r="R42" s="27"/>
      <c r="S42" s="27"/>
    </row>
    <row r="43" spans="2:19" hidden="1" x14ac:dyDescent="0.2">
      <c r="B43" s="33"/>
      <c r="F43" s="27"/>
      <c r="G43" s="27"/>
      <c r="H43" s="27"/>
      <c r="I43" s="27"/>
      <c r="J43" s="495" t="str">
        <f>'5.1_Nebenberechnungen'!H10</f>
        <v xml:space="preserve">Klausuraufsicht </v>
      </c>
      <c r="K43" s="496"/>
      <c r="L43" s="194">
        <f>Summe_Klausur_Aufsicht</f>
        <v>822.5</v>
      </c>
      <c r="Q43" s="27"/>
      <c r="R43" s="27"/>
      <c r="S43" s="27"/>
    </row>
    <row r="44" spans="2:19" hidden="1" x14ac:dyDescent="0.2">
      <c r="B44" s="33"/>
      <c r="F44" s="27"/>
      <c r="G44" s="27"/>
      <c r="H44" s="27"/>
      <c r="I44" s="27"/>
      <c r="J44" s="495" t="str">
        <f>'5.1_Nebenberechnungen'!G10</f>
        <v>Klausurkorrektur</v>
      </c>
      <c r="K44" s="496"/>
      <c r="L44" s="194">
        <f>'5.1_Nebenberechnungen'!G32</f>
        <v>14732.5</v>
      </c>
      <c r="Q44" s="27"/>
      <c r="R44" s="27"/>
      <c r="S44" s="27"/>
    </row>
    <row r="45" spans="2:19" hidden="1" x14ac:dyDescent="0.2">
      <c r="B45" s="33"/>
      <c r="F45" s="27"/>
      <c r="G45" s="27"/>
      <c r="H45" s="27"/>
      <c r="I45" s="27"/>
      <c r="J45" s="495" t="str">
        <f>'5.1_Nebenberechnungen'!C10</f>
        <v>Mündliche Prüfung (pro Studierenden)</v>
      </c>
      <c r="K45" s="496"/>
      <c r="L45" s="194">
        <f>Summe_Mündliche_Prüfung</f>
        <v>435.52</v>
      </c>
      <c r="Q45" s="27"/>
      <c r="R45" s="27"/>
      <c r="S45" s="27"/>
    </row>
    <row r="46" spans="2:19" hidden="1" x14ac:dyDescent="0.2">
      <c r="B46" s="33"/>
      <c r="F46" s="27"/>
      <c r="G46" s="27"/>
      <c r="H46" s="27"/>
      <c r="I46" s="27"/>
      <c r="J46" s="495" t="str">
        <f>H12</f>
        <v xml:space="preserve">Korrektur der Hausarbeit </v>
      </c>
      <c r="K46" s="496"/>
      <c r="L46" s="194">
        <f>Summe_Hausarbeit</f>
        <v>240</v>
      </c>
      <c r="Q46" s="27"/>
      <c r="R46" s="27"/>
      <c r="S46" s="27"/>
    </row>
    <row r="47" spans="2:19" hidden="1" x14ac:dyDescent="0.2"/>
  </sheetData>
  <sheetProtection password="C2D2" sheet="1" objects="1" scenarios="1"/>
  <customSheetViews>
    <customSheetView guid="{2F462239-8624-472D-83C3-142E64AAE7D6}" scale="85" fitToPage="1">
      <selection activeCell="E16" sqref="E16"/>
      <pageMargins left="0.70866141732283472" right="0.70866141732283472" top="0.78740157480314965" bottom="0.78740157480314965" header="0.31496062992125984" footer="0.31496062992125984"/>
      <pageSetup paperSize="8" scale="41" orientation="landscape" r:id="rId1"/>
      <headerFooter>
        <oddFooter>&amp;C&amp;8&amp;Z&amp;F</oddFooter>
      </headerFooter>
    </customSheetView>
  </customSheetViews>
  <mergeCells count="7">
    <mergeCell ref="E2:H2"/>
    <mergeCell ref="B12:B13"/>
    <mergeCell ref="J44:K44"/>
    <mergeCell ref="J45:K45"/>
    <mergeCell ref="J46:K46"/>
    <mergeCell ref="J42:K42"/>
    <mergeCell ref="J43:K43"/>
  </mergeCells>
  <pageMargins left="0.70866141732283472" right="0.70866141732283472" top="0.78740157480314965" bottom="0.78740157480314965" header="0.31496062992125984" footer="0.31496062992125984"/>
  <pageSetup paperSize="9" scale="65" orientation="landscape" r:id="rId2"/>
  <headerFooter>
    <oddHeader>&amp;R&amp;7 5_Prüfungen</oddHead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B1:W64"/>
  <sheetViews>
    <sheetView showGridLines="0" zoomScale="130" zoomScaleNormal="130" zoomScalePageLayoutView="115" workbookViewId="0">
      <selection activeCell="G74" sqref="G74"/>
    </sheetView>
  </sheetViews>
  <sheetFormatPr baseColWidth="10" defaultRowHeight="15" x14ac:dyDescent="0.25"/>
  <cols>
    <col min="1" max="1" width="18.28515625" customWidth="1"/>
    <col min="2" max="2" width="30.85546875" customWidth="1"/>
    <col min="3" max="3" width="16" customWidth="1"/>
    <col min="4" max="4" width="13.42578125" customWidth="1"/>
    <col min="5" max="5" width="15" customWidth="1"/>
    <col min="6" max="6" width="16.85546875" customWidth="1"/>
    <col min="7" max="7" width="14.5703125" customWidth="1"/>
    <col min="8" max="8" width="15.42578125" customWidth="1"/>
    <col min="9" max="9" width="7.140625" customWidth="1"/>
    <col min="10" max="10" width="10.7109375" customWidth="1"/>
    <col min="11" max="11" width="3" customWidth="1"/>
    <col min="12" max="12" width="9.5703125" customWidth="1"/>
    <col min="15" max="15" width="12.140625" customWidth="1"/>
  </cols>
  <sheetData>
    <row r="1" spans="2:21" s="32" customFormat="1" ht="12.75" x14ac:dyDescent="0.2">
      <c r="B1" s="28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2:21" s="32" customFormat="1" ht="13.5" thickBot="1" x14ac:dyDescent="0.25">
      <c r="B2" s="28"/>
      <c r="G2" s="34"/>
      <c r="H2" s="34"/>
      <c r="I2" s="11" t="s">
        <v>194</v>
      </c>
      <c r="J2" s="25">
        <f>Stand_Datum</f>
        <v>43564</v>
      </c>
      <c r="L2" s="293" t="s">
        <v>105</v>
      </c>
      <c r="Q2" s="34"/>
      <c r="R2" s="34"/>
    </row>
    <row r="3" spans="2:21" s="32" customFormat="1" ht="12.75" customHeight="1" thickBot="1" x14ac:dyDescent="0.25">
      <c r="B3" s="34"/>
      <c r="C3" s="481" t="str">
        <f>Studiengangsbezeichnung</f>
        <v>Musterstudiengang</v>
      </c>
      <c r="D3" s="482"/>
      <c r="E3" s="482"/>
      <c r="F3" s="483"/>
      <c r="G3" s="64"/>
      <c r="H3" s="34"/>
      <c r="I3" s="34"/>
      <c r="J3" s="34"/>
      <c r="L3" s="294" t="s">
        <v>106</v>
      </c>
      <c r="Q3" s="34"/>
      <c r="R3" s="34"/>
    </row>
    <row r="4" spans="2:21" s="32" customFormat="1" ht="12.75" x14ac:dyDescent="0.2">
      <c r="B4" s="34"/>
      <c r="C4" s="34"/>
      <c r="H4" s="34"/>
      <c r="I4" s="34"/>
      <c r="J4" s="34"/>
      <c r="K4" s="34"/>
      <c r="L4" s="34"/>
      <c r="O4" s="34"/>
      <c r="P4" s="34"/>
      <c r="Q4" s="34"/>
      <c r="R4" s="34"/>
    </row>
    <row r="5" spans="2:21" s="32" customFormat="1" ht="12.75" x14ac:dyDescent="0.2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O5" s="34"/>
      <c r="P5" s="34"/>
      <c r="Q5" s="34"/>
      <c r="R5" s="34"/>
    </row>
    <row r="6" spans="2:21" s="32" customFormat="1" ht="12.75" x14ac:dyDescent="0.2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O6" s="34"/>
      <c r="P6" s="34"/>
      <c r="Q6" s="34"/>
      <c r="R6" s="34"/>
    </row>
    <row r="7" spans="2:21" s="32" customFormat="1" ht="12.75" x14ac:dyDescent="0.2">
      <c r="F7" s="27"/>
      <c r="G7" s="27"/>
      <c r="H7" s="27"/>
      <c r="I7" s="27"/>
      <c r="J7" s="34"/>
      <c r="K7" s="34"/>
      <c r="L7" s="189"/>
      <c r="R7" s="27"/>
    </row>
    <row r="8" spans="2:21" s="32" customFormat="1" ht="12.75" x14ac:dyDescent="0.2">
      <c r="F8" s="27"/>
      <c r="G8" s="27"/>
      <c r="H8" s="27"/>
      <c r="I8" s="27"/>
      <c r="J8" s="34"/>
      <c r="K8" s="34"/>
      <c r="L8" s="189"/>
      <c r="R8" s="27"/>
    </row>
    <row r="9" spans="2:21" s="32" customFormat="1" ht="13.5" thickBot="1" x14ac:dyDescent="0.25">
      <c r="B9" s="33" t="s">
        <v>133</v>
      </c>
      <c r="C9" s="27"/>
      <c r="D9" s="27"/>
      <c r="E9" s="27"/>
      <c r="F9" s="27"/>
      <c r="G9" s="27"/>
      <c r="H9" s="27"/>
      <c r="I9" s="27"/>
      <c r="J9" s="34"/>
      <c r="K9" s="34"/>
      <c r="O9" s="34"/>
      <c r="P9" s="34"/>
      <c r="Q9" s="34"/>
      <c r="R9" s="27"/>
      <c r="S9" s="27"/>
      <c r="T9" s="34"/>
    </row>
    <row r="10" spans="2:21" s="32" customFormat="1" ht="45.75" customHeight="1" x14ac:dyDescent="0.2">
      <c r="B10" s="104"/>
      <c r="C10" s="491" t="s">
        <v>198</v>
      </c>
      <c r="D10" s="491"/>
      <c r="E10" s="228" t="s">
        <v>205</v>
      </c>
      <c r="F10" s="228" t="str">
        <f>'5_Prüfungen'!K31</f>
        <v xml:space="preserve">Klausurerstellung </v>
      </c>
      <c r="G10" s="228" t="s">
        <v>217</v>
      </c>
      <c r="H10" s="255" t="str">
        <f>'5_Prüfungen'!K34</f>
        <v xml:space="preserve">Klausuraufsicht </v>
      </c>
      <c r="K10" s="100"/>
      <c r="O10" s="100"/>
      <c r="P10" s="29"/>
      <c r="Q10" s="100"/>
      <c r="R10" s="100"/>
      <c r="S10" s="100"/>
      <c r="T10" s="29"/>
      <c r="U10" s="29"/>
    </row>
    <row r="11" spans="2:21" s="32" customFormat="1" ht="12.75" x14ac:dyDescent="0.2">
      <c r="B11" s="195" t="s">
        <v>13</v>
      </c>
      <c r="C11" s="81" t="s">
        <v>53</v>
      </c>
      <c r="D11" s="81" t="s">
        <v>54</v>
      </c>
      <c r="E11" s="38" t="s">
        <v>54</v>
      </c>
      <c r="F11" s="81" t="s">
        <v>17</v>
      </c>
      <c r="G11" s="81" t="s">
        <v>17</v>
      </c>
      <c r="H11" s="401" t="s">
        <v>17</v>
      </c>
      <c r="K11" s="29"/>
      <c r="O11" s="29"/>
      <c r="P11" s="29"/>
      <c r="Q11" s="29"/>
      <c r="R11" s="29"/>
      <c r="S11" s="27"/>
      <c r="T11" s="29"/>
      <c r="U11" s="29"/>
    </row>
    <row r="12" spans="2:21" s="32" customFormat="1" ht="12.75" x14ac:dyDescent="0.2">
      <c r="B12" s="79" t="str">
        <f>IF('3_Lehrmaterial'!B11="","",'3_Lehrmaterial'!B11)</f>
        <v>1 Mathematik</v>
      </c>
      <c r="C12" s="129" t="str">
        <f>IF('5_Prüfungen'!G14="","",'5_Prüfungen'!G14)</f>
        <v/>
      </c>
      <c r="D12" s="367" t="str">
        <f>IF(C12&lt;&gt;"",(C12/45)*B42,"")</f>
        <v/>
      </c>
      <c r="E12" s="367" t="str">
        <f>IF('5_Prüfungen'!D14&lt;&gt;"",C42*'5_Prüfungen'!H14,"")</f>
        <v/>
      </c>
      <c r="F12" s="367">
        <f t="shared" ref="F12:F31" si="0">IF(D42&lt;&gt;"",E42*D42,"")</f>
        <v>240</v>
      </c>
      <c r="G12" s="367">
        <f>IF(H42="","",H42*'5_Prüfungen'!$M$14)</f>
        <v>1452.5</v>
      </c>
      <c r="H12" s="400">
        <f t="shared" ref="H12:H31" si="1">IF(I42&lt;&gt;"",J42*I42,"")</f>
        <v>70</v>
      </c>
      <c r="K12" s="29"/>
      <c r="O12" s="29"/>
      <c r="P12" s="29"/>
      <c r="Q12" s="29"/>
      <c r="R12" s="29"/>
      <c r="S12" s="60"/>
      <c r="T12" s="29"/>
      <c r="U12" s="29"/>
    </row>
    <row r="13" spans="2:21" s="32" customFormat="1" ht="12.75" x14ac:dyDescent="0.2">
      <c r="B13" s="79" t="str">
        <f>IF('3_Lehrmaterial'!B12="","",'3_Lehrmaterial'!B12)</f>
        <v>2 Mechanik</v>
      </c>
      <c r="C13" s="129" t="str">
        <f>IF('5_Prüfungen'!G15="","",'5_Prüfungen'!G15)</f>
        <v/>
      </c>
      <c r="D13" s="367" t="str">
        <f t="shared" ref="D13:D31" si="2">IF(C13&lt;&gt;"",(C13/45)*B43,"")</f>
        <v/>
      </c>
      <c r="E13" s="367" t="str">
        <f>IF('5_Prüfungen'!D15&lt;&gt;"",C43*'5_Prüfungen'!H15,"")</f>
        <v/>
      </c>
      <c r="F13" s="367">
        <f t="shared" si="0"/>
        <v>120</v>
      </c>
      <c r="G13" s="367">
        <f>IF(H43="","",H43*'5_Prüfungen'!$M$14)</f>
        <v>830</v>
      </c>
      <c r="H13" s="400">
        <f t="shared" si="1"/>
        <v>52.5</v>
      </c>
      <c r="K13" s="29"/>
      <c r="O13" s="29"/>
      <c r="P13" s="29"/>
      <c r="Q13" s="29"/>
      <c r="R13" s="29"/>
      <c r="S13" s="60"/>
      <c r="T13" s="29"/>
      <c r="U13" s="29"/>
    </row>
    <row r="14" spans="2:21" s="32" customFormat="1" ht="12.75" x14ac:dyDescent="0.2">
      <c r="B14" s="79" t="str">
        <f>IF('3_Lehrmaterial'!B13="","",'3_Lehrmaterial'!B13)</f>
        <v>3 Konstruktionstechnik</v>
      </c>
      <c r="C14" s="129" t="str">
        <f>IF('5_Prüfungen'!G16="","",'5_Prüfungen'!G16)</f>
        <v/>
      </c>
      <c r="D14" s="367" t="str">
        <f t="shared" si="2"/>
        <v/>
      </c>
      <c r="E14" s="367" t="str">
        <f>IF('5_Prüfungen'!D16&lt;&gt;"",C44*'5_Prüfungen'!H16,"")</f>
        <v/>
      </c>
      <c r="F14" s="367">
        <f t="shared" si="0"/>
        <v>120</v>
      </c>
      <c r="G14" s="367">
        <f>IF(H44="","",H44*'5_Prüfungen'!$M$14)</f>
        <v>830</v>
      </c>
      <c r="H14" s="400">
        <f t="shared" si="1"/>
        <v>52.5</v>
      </c>
      <c r="K14" s="29"/>
      <c r="L14" s="29"/>
      <c r="M14" s="29"/>
      <c r="N14" s="29"/>
      <c r="O14" s="29"/>
      <c r="P14" s="29"/>
      <c r="Q14" s="29"/>
      <c r="R14" s="29"/>
      <c r="S14" s="60"/>
      <c r="T14" s="29"/>
      <c r="U14" s="29"/>
    </row>
    <row r="15" spans="2:21" s="32" customFormat="1" ht="12.75" x14ac:dyDescent="0.2">
      <c r="B15" s="79" t="str">
        <f>IF('3_Lehrmaterial'!B14="","",'3_Lehrmaterial'!B14)</f>
        <v>4 Einführung in die Programmierung</v>
      </c>
      <c r="C15" s="129">
        <f>IF('5_Prüfungen'!G17="","",'5_Prüfungen'!G17)</f>
        <v>35</v>
      </c>
      <c r="D15" s="367">
        <f t="shared" si="2"/>
        <v>54.44</v>
      </c>
      <c r="E15" s="367">
        <f>IF('5_Prüfungen'!D17&lt;&gt;"",C45*'5_Prüfungen'!H17,"")</f>
        <v>60</v>
      </c>
      <c r="F15" s="367" t="str">
        <f t="shared" si="0"/>
        <v/>
      </c>
      <c r="G15" s="367" t="str">
        <f>IF(H45="","",H45*'5_Prüfungen'!$M$14)</f>
        <v/>
      </c>
      <c r="H15" s="400" t="str">
        <f t="shared" si="1"/>
        <v/>
      </c>
      <c r="K15" s="29"/>
      <c r="L15" s="29"/>
      <c r="M15" s="29"/>
      <c r="N15" s="29"/>
      <c r="O15" s="29"/>
      <c r="P15" s="29"/>
      <c r="Q15" s="29"/>
      <c r="R15" s="29"/>
      <c r="S15" s="60"/>
      <c r="T15" s="29"/>
      <c r="U15" s="29"/>
    </row>
    <row r="16" spans="2:21" s="32" customFormat="1" ht="12.75" x14ac:dyDescent="0.2">
      <c r="B16" s="79" t="str">
        <f>IF('3_Lehrmaterial'!B15="","",'3_Lehrmaterial'!B15)</f>
        <v>5 Werkstoffkunde</v>
      </c>
      <c r="C16" s="129">
        <f>IF('5_Prüfungen'!G18="","",'5_Prüfungen'!G18)</f>
        <v>35</v>
      </c>
      <c r="D16" s="367">
        <f t="shared" si="2"/>
        <v>54.44</v>
      </c>
      <c r="E16" s="367" t="str">
        <f>IF('5_Prüfungen'!D18&lt;&gt;"",C46*'5_Prüfungen'!H18,"")</f>
        <v/>
      </c>
      <c r="F16" s="367" t="str">
        <f t="shared" si="0"/>
        <v/>
      </c>
      <c r="G16" s="367" t="str">
        <f>IF(H46="","",H46*'5_Prüfungen'!$M$14)</f>
        <v/>
      </c>
      <c r="H16" s="400" t="str">
        <f t="shared" si="1"/>
        <v/>
      </c>
      <c r="K16" s="29"/>
      <c r="L16" s="29"/>
      <c r="M16" s="29"/>
      <c r="N16" s="29"/>
      <c r="O16" s="29"/>
      <c r="P16" s="29"/>
      <c r="Q16" s="29"/>
      <c r="R16" s="29"/>
      <c r="S16" s="60"/>
      <c r="T16" s="29"/>
      <c r="U16" s="29"/>
    </row>
    <row r="17" spans="2:21" s="32" customFormat="1" ht="12.75" x14ac:dyDescent="0.2">
      <c r="B17" s="79" t="str">
        <f>IF('3_Lehrmaterial'!B16="","",'3_Lehrmaterial'!B16)</f>
        <v>6</v>
      </c>
      <c r="C17" s="129" t="str">
        <f>IF('5_Prüfungen'!G19="","",'5_Prüfungen'!G19)</f>
        <v/>
      </c>
      <c r="D17" s="367" t="str">
        <f t="shared" si="2"/>
        <v/>
      </c>
      <c r="E17" s="367" t="str">
        <f>IF('5_Prüfungen'!D19&lt;&gt;"",C47*'5_Prüfungen'!H19,"")</f>
        <v/>
      </c>
      <c r="F17" s="367">
        <f t="shared" si="0"/>
        <v>120</v>
      </c>
      <c r="G17" s="367">
        <f>IF(H47="","",H47*'5_Prüfungen'!$M$14)</f>
        <v>830</v>
      </c>
      <c r="H17" s="400">
        <f t="shared" si="1"/>
        <v>52.5</v>
      </c>
      <c r="K17" s="29"/>
      <c r="L17" s="29"/>
      <c r="M17" s="29"/>
      <c r="N17" s="29"/>
      <c r="O17" s="29"/>
      <c r="P17" s="29"/>
      <c r="Q17" s="29"/>
      <c r="R17" s="29"/>
      <c r="S17" s="60"/>
      <c r="T17" s="29"/>
      <c r="U17" s="29"/>
    </row>
    <row r="18" spans="2:21" s="32" customFormat="1" ht="12.75" x14ac:dyDescent="0.2">
      <c r="B18" s="79">
        <f>IF('3_Lehrmaterial'!B17="","",'3_Lehrmaterial'!B17)</f>
        <v>7</v>
      </c>
      <c r="C18" s="129" t="str">
        <f>IF('5_Prüfungen'!G20="","",'5_Prüfungen'!G20)</f>
        <v/>
      </c>
      <c r="D18" s="367" t="str">
        <f t="shared" si="2"/>
        <v/>
      </c>
      <c r="E18" s="367" t="str">
        <f>IF('5_Prüfungen'!D20&lt;&gt;"",C48*'5_Prüfungen'!H20,"")</f>
        <v/>
      </c>
      <c r="F18" s="367">
        <f t="shared" si="0"/>
        <v>120</v>
      </c>
      <c r="G18" s="367">
        <f>IF(H48="","",H48*'5_Prüfungen'!$M$14)</f>
        <v>830</v>
      </c>
      <c r="H18" s="400">
        <f t="shared" si="1"/>
        <v>52.5</v>
      </c>
      <c r="K18" s="29"/>
      <c r="L18" s="29"/>
      <c r="M18" s="29"/>
      <c r="N18" s="29"/>
      <c r="O18" s="29"/>
      <c r="P18" s="29"/>
      <c r="Q18" s="29"/>
      <c r="R18" s="29"/>
      <c r="S18" s="60"/>
      <c r="T18" s="29"/>
      <c r="U18" s="29"/>
    </row>
    <row r="19" spans="2:21" s="32" customFormat="1" ht="12.75" x14ac:dyDescent="0.2">
      <c r="B19" s="79">
        <f>IF('3_Lehrmaterial'!B18="","",'3_Lehrmaterial'!B18)</f>
        <v>8</v>
      </c>
      <c r="C19" s="129" t="str">
        <f>IF('5_Prüfungen'!G21="","",'5_Prüfungen'!G21)</f>
        <v/>
      </c>
      <c r="D19" s="367" t="str">
        <f t="shared" si="2"/>
        <v/>
      </c>
      <c r="E19" s="367" t="str">
        <f>IF('5_Prüfungen'!D21&lt;&gt;"",C49*'5_Prüfungen'!H21,"")</f>
        <v/>
      </c>
      <c r="F19" s="367">
        <f t="shared" si="0"/>
        <v>120</v>
      </c>
      <c r="G19" s="367">
        <f>IF(H49="","",H49*'5_Prüfungen'!$M$14)</f>
        <v>830</v>
      </c>
      <c r="H19" s="400">
        <f t="shared" si="1"/>
        <v>52.5</v>
      </c>
      <c r="K19" s="29"/>
      <c r="L19" s="29"/>
      <c r="M19" s="29"/>
      <c r="N19" s="29"/>
      <c r="O19" s="29"/>
      <c r="P19" s="29"/>
      <c r="Q19" s="29"/>
      <c r="R19" s="29"/>
      <c r="S19" s="60"/>
      <c r="T19" s="29"/>
      <c r="U19" s="29"/>
    </row>
    <row r="20" spans="2:21" s="32" customFormat="1" ht="12.75" x14ac:dyDescent="0.2">
      <c r="B20" s="79">
        <f>IF('3_Lehrmaterial'!B19="","",'3_Lehrmaterial'!B19)</f>
        <v>9</v>
      </c>
      <c r="C20" s="129">
        <f>IF('5_Prüfungen'!G22="","",'5_Prüfungen'!G22)</f>
        <v>35</v>
      </c>
      <c r="D20" s="367">
        <f t="shared" si="2"/>
        <v>54.44</v>
      </c>
      <c r="E20" s="367">
        <f>IF('5_Prüfungen'!D22&lt;&gt;"",C50*'5_Prüfungen'!H22,"")</f>
        <v>60</v>
      </c>
      <c r="F20" s="367" t="str">
        <f t="shared" si="0"/>
        <v/>
      </c>
      <c r="G20" s="367" t="str">
        <f>IF(H50="","",H50*'5_Prüfungen'!$M$14)</f>
        <v/>
      </c>
      <c r="H20" s="400" t="str">
        <f t="shared" si="1"/>
        <v/>
      </c>
      <c r="K20" s="29"/>
      <c r="L20" s="29"/>
      <c r="M20" s="29"/>
      <c r="N20" s="29"/>
      <c r="O20" s="29"/>
      <c r="P20" s="29"/>
      <c r="Q20" s="29"/>
      <c r="R20" s="29"/>
      <c r="S20" s="60"/>
      <c r="T20" s="29"/>
      <c r="U20" s="29"/>
    </row>
    <row r="21" spans="2:21" s="32" customFormat="1" ht="12.75" x14ac:dyDescent="0.2">
      <c r="B21" s="79">
        <f>IF('3_Lehrmaterial'!B20="","",'3_Lehrmaterial'!B20)</f>
        <v>10</v>
      </c>
      <c r="C21" s="129" t="str">
        <f>IF('5_Prüfungen'!G23="","",'5_Prüfungen'!G23)</f>
        <v/>
      </c>
      <c r="D21" s="367" t="str">
        <f t="shared" si="2"/>
        <v/>
      </c>
      <c r="E21" s="367" t="str">
        <f>IF('5_Prüfungen'!D23&lt;&gt;"",C51*'5_Prüfungen'!H23,"")</f>
        <v/>
      </c>
      <c r="F21" s="367">
        <f t="shared" si="0"/>
        <v>240</v>
      </c>
      <c r="G21" s="367">
        <f>IF(H51="","",H51*'5_Prüfungen'!$M$14)</f>
        <v>1452.5</v>
      </c>
      <c r="H21" s="400">
        <f t="shared" si="1"/>
        <v>70</v>
      </c>
      <c r="K21" s="29"/>
      <c r="L21" s="29"/>
      <c r="M21" s="29"/>
      <c r="N21" s="29"/>
      <c r="O21" s="29"/>
      <c r="P21" s="29"/>
      <c r="Q21" s="29"/>
      <c r="R21" s="29"/>
      <c r="S21" s="60"/>
      <c r="T21" s="29"/>
      <c r="U21" s="29"/>
    </row>
    <row r="22" spans="2:21" s="32" customFormat="1" ht="12.75" x14ac:dyDescent="0.2">
      <c r="B22" s="79">
        <f>IF('3_Lehrmaterial'!B21="","",'3_Lehrmaterial'!B21)</f>
        <v>11</v>
      </c>
      <c r="C22" s="129">
        <f>IF('5_Prüfungen'!G24="","",'5_Prüfungen'!G24)</f>
        <v>35</v>
      </c>
      <c r="D22" s="367">
        <f t="shared" si="2"/>
        <v>54.44</v>
      </c>
      <c r="E22" s="367" t="str">
        <f>IF('5_Prüfungen'!D24&lt;&gt;"",C52*'5_Prüfungen'!H24,"")</f>
        <v/>
      </c>
      <c r="F22" s="367" t="str">
        <f t="shared" si="0"/>
        <v/>
      </c>
      <c r="G22" s="367" t="str">
        <f>IF(H52="","",H52*'5_Prüfungen'!$M$14)</f>
        <v/>
      </c>
      <c r="H22" s="400" t="str">
        <f t="shared" si="1"/>
        <v/>
      </c>
      <c r="K22" s="29"/>
      <c r="L22" s="29"/>
      <c r="M22" s="29"/>
      <c r="N22" s="29"/>
      <c r="O22" s="29"/>
      <c r="P22" s="29"/>
      <c r="Q22" s="29"/>
      <c r="R22" s="29"/>
      <c r="S22" s="60"/>
      <c r="T22" s="29"/>
      <c r="U22" s="29"/>
    </row>
    <row r="23" spans="2:21" s="32" customFormat="1" ht="12.75" x14ac:dyDescent="0.2">
      <c r="B23" s="79">
        <f>IF('3_Lehrmaterial'!B22="","",'3_Lehrmaterial'!B22)</f>
        <v>12</v>
      </c>
      <c r="C23" s="129">
        <f>IF('5_Prüfungen'!G25="","",'5_Prüfungen'!G25)</f>
        <v>35</v>
      </c>
      <c r="D23" s="367">
        <f t="shared" si="2"/>
        <v>54.44</v>
      </c>
      <c r="E23" s="367">
        <f>IF('5_Prüfungen'!D25&lt;&gt;"",C53*'5_Prüfungen'!H25,"")</f>
        <v>60</v>
      </c>
      <c r="F23" s="367" t="str">
        <f t="shared" si="0"/>
        <v/>
      </c>
      <c r="G23" s="367" t="str">
        <f>IF(H53="","",H53*'5_Prüfungen'!$M$14)</f>
        <v/>
      </c>
      <c r="H23" s="400" t="str">
        <f t="shared" si="1"/>
        <v/>
      </c>
      <c r="K23" s="29"/>
      <c r="L23" s="29"/>
      <c r="M23" s="29"/>
      <c r="N23" s="29"/>
      <c r="O23" s="29"/>
      <c r="P23" s="29"/>
      <c r="Q23" s="29"/>
      <c r="R23" s="29"/>
      <c r="S23" s="60"/>
      <c r="T23" s="29"/>
      <c r="U23" s="29"/>
    </row>
    <row r="24" spans="2:21" s="32" customFormat="1" ht="12.75" x14ac:dyDescent="0.2">
      <c r="B24" s="79">
        <f>IF('3_Lehrmaterial'!B23="","",'3_Lehrmaterial'!B23)</f>
        <v>13</v>
      </c>
      <c r="C24" s="129" t="str">
        <f>IF('5_Prüfungen'!G26="","",'5_Prüfungen'!G26)</f>
        <v/>
      </c>
      <c r="D24" s="367" t="str">
        <f t="shared" si="2"/>
        <v/>
      </c>
      <c r="E24" s="367" t="str">
        <f>IF('5_Prüfungen'!D26&lt;&gt;"",C54*'5_Prüfungen'!H26,"")</f>
        <v/>
      </c>
      <c r="F24" s="367">
        <f t="shared" si="0"/>
        <v>240</v>
      </c>
      <c r="G24" s="367">
        <f>IF(H54="","",H54*'5_Prüfungen'!$M$14)</f>
        <v>1452.5</v>
      </c>
      <c r="H24" s="400">
        <f t="shared" si="1"/>
        <v>70</v>
      </c>
      <c r="K24" s="29"/>
      <c r="L24" s="29"/>
      <c r="M24" s="29"/>
      <c r="N24" s="29"/>
      <c r="O24" s="29"/>
      <c r="P24" s="29"/>
      <c r="Q24" s="29"/>
      <c r="R24" s="29"/>
      <c r="S24" s="60"/>
      <c r="T24" s="29"/>
      <c r="U24" s="29"/>
    </row>
    <row r="25" spans="2:21" s="32" customFormat="1" ht="12.75" x14ac:dyDescent="0.2">
      <c r="B25" s="79">
        <f>IF('3_Lehrmaterial'!B24="","",'3_Lehrmaterial'!B24)</f>
        <v>14</v>
      </c>
      <c r="C25" s="129" t="str">
        <f>IF('5_Prüfungen'!G27="","",'5_Prüfungen'!G27)</f>
        <v/>
      </c>
      <c r="D25" s="367" t="str">
        <f t="shared" si="2"/>
        <v/>
      </c>
      <c r="E25" s="367" t="str">
        <f>IF('5_Prüfungen'!D27&lt;&gt;"",C55*'5_Prüfungen'!H27,"")</f>
        <v/>
      </c>
      <c r="F25" s="367">
        <f t="shared" si="0"/>
        <v>240</v>
      </c>
      <c r="G25" s="367">
        <f>IF(H55="","",H55*'5_Prüfungen'!$M$14)</f>
        <v>1452.5</v>
      </c>
      <c r="H25" s="400">
        <f t="shared" si="1"/>
        <v>70</v>
      </c>
      <c r="K25" s="29"/>
      <c r="L25" s="29"/>
      <c r="M25" s="29"/>
      <c r="N25" s="29"/>
      <c r="O25" s="29"/>
      <c r="P25" s="29"/>
      <c r="Q25" s="29"/>
      <c r="R25" s="29"/>
      <c r="S25" s="60"/>
      <c r="T25" s="29"/>
      <c r="U25" s="29"/>
    </row>
    <row r="26" spans="2:21" s="32" customFormat="1" ht="12.75" x14ac:dyDescent="0.2">
      <c r="B26" s="79">
        <f>IF('3_Lehrmaterial'!B25="","",'3_Lehrmaterial'!B25)</f>
        <v>15</v>
      </c>
      <c r="C26" s="129">
        <f>IF('5_Prüfungen'!G28="","",'5_Prüfungen'!G28)</f>
        <v>35</v>
      </c>
      <c r="D26" s="367">
        <f t="shared" si="2"/>
        <v>54.44</v>
      </c>
      <c r="E26" s="367" t="str">
        <f>IF('5_Prüfungen'!D28&lt;&gt;"",C56*'5_Prüfungen'!H28,"")</f>
        <v/>
      </c>
      <c r="F26" s="367" t="str">
        <f t="shared" si="0"/>
        <v/>
      </c>
      <c r="G26" s="367" t="str">
        <f>IF(H56="","",H56*'5_Prüfungen'!$M$14)</f>
        <v/>
      </c>
      <c r="H26" s="400" t="str">
        <f t="shared" si="1"/>
        <v/>
      </c>
      <c r="K26" s="29"/>
      <c r="L26" s="29"/>
      <c r="M26" s="29"/>
      <c r="N26" s="29"/>
      <c r="O26" s="29"/>
      <c r="P26" s="29"/>
      <c r="Q26" s="29"/>
      <c r="R26" s="29"/>
      <c r="S26" s="60"/>
      <c r="T26" s="29"/>
      <c r="U26" s="29"/>
    </row>
    <row r="27" spans="2:21" s="32" customFormat="1" ht="12.75" x14ac:dyDescent="0.2">
      <c r="B27" s="79">
        <f>IF('3_Lehrmaterial'!B26="","",'3_Lehrmaterial'!B26)</f>
        <v>16</v>
      </c>
      <c r="C27" s="129" t="str">
        <f>IF('5_Prüfungen'!G29="","",'5_Prüfungen'!G29)</f>
        <v/>
      </c>
      <c r="D27" s="367" t="str">
        <f t="shared" si="2"/>
        <v/>
      </c>
      <c r="E27" s="367" t="str">
        <f>IF('5_Prüfungen'!D29&lt;&gt;"",C57*'5_Prüfungen'!H29,"")</f>
        <v/>
      </c>
      <c r="F27" s="367">
        <f t="shared" si="0"/>
        <v>120</v>
      </c>
      <c r="G27" s="367">
        <f>IF(H57="","",H57*'5_Prüfungen'!$M$14)</f>
        <v>830</v>
      </c>
      <c r="H27" s="400">
        <f t="shared" si="1"/>
        <v>52.5</v>
      </c>
      <c r="K27" s="29"/>
      <c r="L27" s="29"/>
      <c r="M27" s="29"/>
      <c r="N27" s="29"/>
      <c r="O27" s="29"/>
      <c r="P27" s="29"/>
      <c r="Q27" s="29"/>
      <c r="R27" s="29"/>
      <c r="S27" s="60"/>
      <c r="T27" s="29"/>
      <c r="U27" s="29"/>
    </row>
    <row r="28" spans="2:21" s="32" customFormat="1" ht="12.75" x14ac:dyDescent="0.2">
      <c r="B28" s="79">
        <f>IF('3_Lehrmaterial'!B27="","",'3_Lehrmaterial'!B27)</f>
        <v>17</v>
      </c>
      <c r="C28" s="129" t="str">
        <f>IF('5_Prüfungen'!G30="","",'5_Prüfungen'!G30)</f>
        <v/>
      </c>
      <c r="D28" s="367" t="str">
        <f t="shared" si="2"/>
        <v/>
      </c>
      <c r="E28" s="367" t="str">
        <f>IF('5_Prüfungen'!D30&lt;&gt;"",C58*'5_Prüfungen'!H30,"")</f>
        <v/>
      </c>
      <c r="F28" s="367">
        <f t="shared" si="0"/>
        <v>240</v>
      </c>
      <c r="G28" s="367">
        <f>IF(H58="","",H58*'5_Prüfungen'!$M$14)</f>
        <v>1452.5</v>
      </c>
      <c r="H28" s="400">
        <f t="shared" si="1"/>
        <v>70</v>
      </c>
      <c r="S28" s="60"/>
      <c r="U28" s="29"/>
    </row>
    <row r="29" spans="2:21" s="32" customFormat="1" ht="12.75" x14ac:dyDescent="0.2">
      <c r="B29" s="79">
        <f>IF('3_Lehrmaterial'!B28="","",'3_Lehrmaterial'!B28)</f>
        <v>18</v>
      </c>
      <c r="C29" s="129" t="str">
        <f>IF('5_Prüfungen'!G31="","",'5_Prüfungen'!G31)</f>
        <v/>
      </c>
      <c r="D29" s="367" t="str">
        <f t="shared" si="2"/>
        <v/>
      </c>
      <c r="E29" s="367" t="str">
        <f>IF('5_Prüfungen'!D31&lt;&gt;"",C59*'5_Prüfungen'!H31,"")</f>
        <v/>
      </c>
      <c r="F29" s="367">
        <f t="shared" si="0"/>
        <v>120</v>
      </c>
      <c r="G29" s="367">
        <f>IF(H59="","",H59*'5_Prüfungen'!$M$14)</f>
        <v>830</v>
      </c>
      <c r="H29" s="400">
        <f t="shared" si="1"/>
        <v>52.5</v>
      </c>
      <c r="S29" s="60"/>
      <c r="U29" s="29"/>
    </row>
    <row r="30" spans="2:21" s="32" customFormat="1" ht="12.75" x14ac:dyDescent="0.2">
      <c r="B30" s="79">
        <f>IF('3_Lehrmaterial'!B29="","",'3_Lehrmaterial'!B29)</f>
        <v>19</v>
      </c>
      <c r="C30" s="129">
        <f>IF('5_Prüfungen'!G32="","",'5_Prüfungen'!G32)</f>
        <v>35</v>
      </c>
      <c r="D30" s="367">
        <f t="shared" si="2"/>
        <v>54.44</v>
      </c>
      <c r="E30" s="367">
        <f>IF('5_Prüfungen'!D32&lt;&gt;"",C60*'5_Prüfungen'!H32,"")</f>
        <v>60</v>
      </c>
      <c r="F30" s="367">
        <f t="shared" si="0"/>
        <v>120</v>
      </c>
      <c r="G30" s="367">
        <f>IF(H60="","",H60*'5_Prüfungen'!$M$14)</f>
        <v>830</v>
      </c>
      <c r="H30" s="400">
        <f t="shared" si="1"/>
        <v>52.5</v>
      </c>
      <c r="S30" s="60"/>
      <c r="U30" s="29"/>
    </row>
    <row r="31" spans="2:21" s="32" customFormat="1" ht="12.75" x14ac:dyDescent="0.2">
      <c r="B31" s="79">
        <f>IF('3_Lehrmaterial'!B30="","",'3_Lehrmaterial'!B30)</f>
        <v>20</v>
      </c>
      <c r="C31" s="129">
        <f>IF('5_Prüfungen'!G33="","",'5_Prüfungen'!G33)</f>
        <v>35</v>
      </c>
      <c r="D31" s="367">
        <f t="shared" si="2"/>
        <v>54.44</v>
      </c>
      <c r="E31" s="367" t="str">
        <f>IF('5_Prüfungen'!D33&lt;&gt;"",C61*'5_Prüfungen'!H33,"")</f>
        <v/>
      </c>
      <c r="F31" s="367">
        <f t="shared" si="0"/>
        <v>120</v>
      </c>
      <c r="G31" s="367">
        <f>IF(H61="","",H61*'5_Prüfungen'!$M$14)</f>
        <v>830</v>
      </c>
      <c r="H31" s="400">
        <f t="shared" si="1"/>
        <v>52.5</v>
      </c>
      <c r="S31" s="60"/>
      <c r="U31" s="29"/>
    </row>
    <row r="32" spans="2:21" s="32" customFormat="1" ht="13.5" thickBot="1" x14ac:dyDescent="0.25">
      <c r="B32" s="402" t="s">
        <v>9</v>
      </c>
      <c r="C32" s="403">
        <f t="shared" ref="C32:H32" si="3">SUM(C12:C31)</f>
        <v>280</v>
      </c>
      <c r="D32" s="404">
        <f t="shared" si="3"/>
        <v>435.52</v>
      </c>
      <c r="E32" s="404">
        <f t="shared" si="3"/>
        <v>240</v>
      </c>
      <c r="F32" s="404">
        <f t="shared" si="3"/>
        <v>2280</v>
      </c>
      <c r="G32" s="404">
        <f t="shared" si="3"/>
        <v>14732.5</v>
      </c>
      <c r="H32" s="370">
        <f t="shared" si="3"/>
        <v>822.5</v>
      </c>
      <c r="S32" s="60"/>
      <c r="U32" s="29"/>
    </row>
    <row r="33" spans="2:23" s="32" customFormat="1" ht="12.75" x14ac:dyDescent="0.2">
      <c r="B33" s="28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27"/>
      <c r="T33" s="27"/>
      <c r="U33" s="29"/>
    </row>
    <row r="34" spans="2:23" s="32" customFormat="1" ht="12.75" x14ac:dyDescent="0.2">
      <c r="B34" s="34"/>
      <c r="C34" s="44"/>
      <c r="D34" s="34"/>
      <c r="E34" s="34"/>
      <c r="F34" s="34"/>
      <c r="G34" s="34"/>
      <c r="H34" s="34"/>
      <c r="I34" s="34"/>
      <c r="J34" s="196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2:23" s="32" customFormat="1" ht="12.75" x14ac:dyDescent="0.2">
      <c r="D35" s="34"/>
      <c r="E35" s="34"/>
      <c r="F35" s="34"/>
      <c r="G35" s="34"/>
      <c r="H35" s="34"/>
      <c r="I35" s="34"/>
      <c r="J35" s="196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2:23" s="32" customFormat="1" ht="12.75" x14ac:dyDescent="0.2">
      <c r="D36" s="34"/>
      <c r="E36" s="34"/>
      <c r="F36" s="34"/>
      <c r="G36" s="34"/>
      <c r="H36" s="34"/>
      <c r="I36" s="34"/>
      <c r="J36" s="196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2:23" s="32" customFormat="1" ht="12.75" x14ac:dyDescent="0.2">
      <c r="D37" s="34"/>
      <c r="E37" s="34"/>
      <c r="F37" s="62"/>
      <c r="G37" s="34"/>
      <c r="H37" s="34"/>
      <c r="I37" s="34"/>
      <c r="J37" s="196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2:23" s="32" customFormat="1" ht="12.75" hidden="1" x14ac:dyDescent="0.2">
      <c r="B38" s="170" t="s">
        <v>134</v>
      </c>
      <c r="C38" s="170"/>
      <c r="D38" s="197"/>
      <c r="E38" s="197"/>
      <c r="F38" s="197"/>
      <c r="G38" s="197"/>
      <c r="H38" s="197"/>
      <c r="I38" s="197"/>
      <c r="J38" s="198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2:23" s="32" customFormat="1" ht="13.5" hidden="1" thickBot="1" x14ac:dyDescent="0.25">
      <c r="E39" s="34"/>
      <c r="R39" s="34"/>
      <c r="S39" s="34"/>
      <c r="T39" s="34"/>
    </row>
    <row r="40" spans="2:23" s="32" customFormat="1" ht="12.75" hidden="1" x14ac:dyDescent="0.2">
      <c r="B40" s="199" t="str">
        <f>'5_Prüfungen'!K29</f>
        <v>Mündliche Prüfung (pro Studierenden)</v>
      </c>
      <c r="C40" s="49" t="str">
        <f>'5_Prüfungen'!K30</f>
        <v>Hausarbeit (pro Studierenden)</v>
      </c>
      <c r="D40" s="200" t="str">
        <f>'5_Prüfungen'!K31</f>
        <v xml:space="preserve">Klausurerstellung </v>
      </c>
      <c r="E40" s="201"/>
      <c r="F40" s="118" t="str">
        <f>'5_Prüfungen'!K32</f>
        <v>Klausurkorrektur (Klausur &lt; 90 Minuten)</v>
      </c>
      <c r="G40" s="250"/>
      <c r="H40" s="201"/>
      <c r="I40" s="118" t="str">
        <f>'5_Prüfungen'!K34</f>
        <v xml:space="preserve">Klausuraufsicht </v>
      </c>
      <c r="J40" s="201"/>
      <c r="R40" s="34"/>
      <c r="S40" s="34"/>
      <c r="T40" s="34"/>
    </row>
    <row r="41" spans="2:23" s="32" customFormat="1" ht="12.75" hidden="1" x14ac:dyDescent="0.2">
      <c r="B41" s="202" t="s">
        <v>16</v>
      </c>
      <c r="C41" s="203" t="s">
        <v>16</v>
      </c>
      <c r="D41" s="204" t="s">
        <v>15</v>
      </c>
      <c r="E41" s="205" t="s">
        <v>16</v>
      </c>
      <c r="F41" s="204" t="s">
        <v>89</v>
      </c>
      <c r="G41" s="251"/>
      <c r="H41" s="205" t="s">
        <v>90</v>
      </c>
      <c r="I41" s="204" t="s">
        <v>15</v>
      </c>
      <c r="J41" s="205" t="s">
        <v>16</v>
      </c>
      <c r="R41" s="34"/>
      <c r="S41" s="34"/>
      <c r="T41" s="34"/>
      <c r="W41" s="206"/>
    </row>
    <row r="42" spans="2:23" s="32" customFormat="1" ht="12.75" hidden="1" x14ac:dyDescent="0.2">
      <c r="B42" s="207" t="str">
        <f t="shared" ref="B42:B61" si="4">IF(C12="","",Mündliche_Prüfung)</f>
        <v/>
      </c>
      <c r="C42" s="207" t="str">
        <f>IF('5_Prüfungen'!H14="","",Hausarbeit)</f>
        <v/>
      </c>
      <c r="D42" s="208">
        <f>IF('5_Prüfungen'!I14&lt;&gt;"",'5_Prüfungen'!I14,"")</f>
        <v>8</v>
      </c>
      <c r="E42" s="174">
        <f t="shared" ref="E42:E61" si="5">IF(D42="","",Klausur_Erstellung_Korrektur)</f>
        <v>30</v>
      </c>
      <c r="F42" s="209">
        <f>IF('5_Prüfungen'!F14="","",'5_Prüfungen'!F14)</f>
        <v>120</v>
      </c>
      <c r="G42" s="252"/>
      <c r="H42" s="174">
        <f>IF(F42="","",IF(F42&lt;=90,'5_Prüfungen'!$M$32,IF(F42&gt;90,'5_Prüfungen'!$M$33,"")))</f>
        <v>17.5</v>
      </c>
      <c r="I42" s="210">
        <f>IF('5_Prüfungen'!F14&lt;&gt;"",'5_Prüfungen'!F14/60,"")</f>
        <v>2</v>
      </c>
      <c r="J42" s="174">
        <f t="shared" ref="J42:J61" si="6">IF(I42="","",Klausur_Aufsicht)</f>
        <v>35</v>
      </c>
      <c r="R42" s="34"/>
      <c r="S42" s="34"/>
      <c r="T42" s="34"/>
      <c r="W42" s="206"/>
    </row>
    <row r="43" spans="2:23" s="32" customFormat="1" ht="12.75" hidden="1" x14ac:dyDescent="0.2">
      <c r="B43" s="207" t="str">
        <f t="shared" si="4"/>
        <v/>
      </c>
      <c r="C43" s="207" t="str">
        <f>IF('5_Prüfungen'!H15="","",Hausarbeit)</f>
        <v/>
      </c>
      <c r="D43" s="208">
        <f>IF('5_Prüfungen'!I15&lt;&gt;"",'5_Prüfungen'!I15,"")</f>
        <v>4</v>
      </c>
      <c r="E43" s="174">
        <f t="shared" si="5"/>
        <v>30</v>
      </c>
      <c r="F43" s="209">
        <f>IF('5_Prüfungen'!F15="","",'5_Prüfungen'!F15)</f>
        <v>90</v>
      </c>
      <c r="G43" s="252"/>
      <c r="H43" s="174">
        <f>IF(F43="","",IF(F43&lt;=90,'5_Prüfungen'!$M$32,IF(F43&gt;90,'5_Prüfungen'!$M$33,"")))</f>
        <v>10</v>
      </c>
      <c r="I43" s="210">
        <f>IF('5_Prüfungen'!F15&lt;&gt;"",'5_Prüfungen'!F15/60,"")</f>
        <v>1.5</v>
      </c>
      <c r="J43" s="174">
        <f t="shared" si="6"/>
        <v>35</v>
      </c>
      <c r="R43" s="34"/>
      <c r="S43" s="34"/>
      <c r="T43" s="34"/>
    </row>
    <row r="44" spans="2:23" s="32" customFormat="1" ht="12.75" hidden="1" x14ac:dyDescent="0.2">
      <c r="B44" s="207" t="str">
        <f t="shared" si="4"/>
        <v/>
      </c>
      <c r="C44" s="207" t="str">
        <f>IF('5_Prüfungen'!H16="","",Hausarbeit)</f>
        <v/>
      </c>
      <c r="D44" s="208">
        <f>IF('5_Prüfungen'!I16&lt;&gt;"",'5_Prüfungen'!I16,"")</f>
        <v>4</v>
      </c>
      <c r="E44" s="174">
        <f t="shared" si="5"/>
        <v>30</v>
      </c>
      <c r="F44" s="209">
        <f>IF('5_Prüfungen'!F16="","",'5_Prüfungen'!F16)</f>
        <v>90</v>
      </c>
      <c r="G44" s="252"/>
      <c r="H44" s="174">
        <f>IF(F44="","",IF(F44&lt;=90,'5_Prüfungen'!$M$32,IF(F44&gt;90,'5_Prüfungen'!$M$33,"")))</f>
        <v>10</v>
      </c>
      <c r="I44" s="210">
        <f>IF('5_Prüfungen'!F16&lt;&gt;"",'5_Prüfungen'!F16/60,"")</f>
        <v>1.5</v>
      </c>
      <c r="J44" s="174">
        <f t="shared" si="6"/>
        <v>35</v>
      </c>
      <c r="R44" s="34"/>
      <c r="S44" s="34"/>
      <c r="T44" s="34"/>
    </row>
    <row r="45" spans="2:23" s="32" customFormat="1" ht="12.75" hidden="1" x14ac:dyDescent="0.2">
      <c r="B45" s="207">
        <f t="shared" si="4"/>
        <v>70</v>
      </c>
      <c r="C45" s="207">
        <f>IF('5_Prüfungen'!H17="","",Hausarbeit)</f>
        <v>30</v>
      </c>
      <c r="D45" s="208" t="str">
        <f>IF('5_Prüfungen'!I17&lt;&gt;"",'5_Prüfungen'!I17,"")</f>
        <v/>
      </c>
      <c r="E45" s="174" t="str">
        <f t="shared" si="5"/>
        <v/>
      </c>
      <c r="F45" s="209" t="str">
        <f>IF('5_Prüfungen'!F17="","",'5_Prüfungen'!F17)</f>
        <v/>
      </c>
      <c r="G45" s="252"/>
      <c r="H45" s="174" t="str">
        <f>IF(F45="","",IF(F45&lt;=90,'5_Prüfungen'!$M$32,IF(F45&gt;90,'5_Prüfungen'!$M$33,"")))</f>
        <v/>
      </c>
      <c r="I45" s="210" t="str">
        <f>IF('5_Prüfungen'!F17&lt;&gt;"",'5_Prüfungen'!F17/60,"")</f>
        <v/>
      </c>
      <c r="J45" s="174" t="str">
        <f t="shared" si="6"/>
        <v/>
      </c>
      <c r="R45" s="34"/>
      <c r="S45" s="34"/>
      <c r="T45" s="34"/>
    </row>
    <row r="46" spans="2:23" s="32" customFormat="1" ht="12.75" hidden="1" x14ac:dyDescent="0.2">
      <c r="B46" s="207">
        <f t="shared" si="4"/>
        <v>70</v>
      </c>
      <c r="C46" s="207" t="str">
        <f>IF('5_Prüfungen'!H18="","",Hausarbeit)</f>
        <v/>
      </c>
      <c r="D46" s="208" t="str">
        <f>IF('5_Prüfungen'!I18&lt;&gt;"",'5_Prüfungen'!I18,"")</f>
        <v/>
      </c>
      <c r="E46" s="174" t="str">
        <f t="shared" si="5"/>
        <v/>
      </c>
      <c r="F46" s="209" t="str">
        <f>IF('5_Prüfungen'!F18="","",'5_Prüfungen'!F18)</f>
        <v/>
      </c>
      <c r="G46" s="252"/>
      <c r="H46" s="174" t="str">
        <f>IF(F46="","",IF(F46&lt;=90,'5_Prüfungen'!$M$32,IF(F46&gt;90,'5_Prüfungen'!$M$33,"")))</f>
        <v/>
      </c>
      <c r="I46" s="210" t="str">
        <f>IF('5_Prüfungen'!F18&lt;&gt;"",'5_Prüfungen'!F18/60,"")</f>
        <v/>
      </c>
      <c r="J46" s="174" t="str">
        <f t="shared" si="6"/>
        <v/>
      </c>
      <c r="R46" s="34"/>
      <c r="S46" s="34"/>
      <c r="T46" s="34"/>
    </row>
    <row r="47" spans="2:23" s="32" customFormat="1" ht="12.75" hidden="1" x14ac:dyDescent="0.2">
      <c r="B47" s="207" t="str">
        <f t="shared" si="4"/>
        <v/>
      </c>
      <c r="C47" s="207" t="str">
        <f>IF('5_Prüfungen'!H19="","",Hausarbeit)</f>
        <v/>
      </c>
      <c r="D47" s="208">
        <f>IF('5_Prüfungen'!I19&lt;&gt;"",'5_Prüfungen'!I19,"")</f>
        <v>4</v>
      </c>
      <c r="E47" s="174">
        <f t="shared" si="5"/>
        <v>30</v>
      </c>
      <c r="F47" s="209">
        <f>IF('5_Prüfungen'!F19="","",'5_Prüfungen'!F19)</f>
        <v>90</v>
      </c>
      <c r="G47" s="252"/>
      <c r="H47" s="174">
        <f>IF(F47="","",IF(F47&lt;=90,'5_Prüfungen'!$M$32,IF(F47&gt;90,'5_Prüfungen'!$M$33,"")))</f>
        <v>10</v>
      </c>
      <c r="I47" s="210">
        <f>IF('5_Prüfungen'!F19&lt;&gt;"",'5_Prüfungen'!F19/60,"")</f>
        <v>1.5</v>
      </c>
      <c r="J47" s="174">
        <f t="shared" si="6"/>
        <v>35</v>
      </c>
      <c r="R47" s="34"/>
      <c r="S47" s="34"/>
      <c r="T47" s="34"/>
    </row>
    <row r="48" spans="2:23" s="32" customFormat="1" ht="12.75" hidden="1" x14ac:dyDescent="0.2">
      <c r="B48" s="207" t="str">
        <f t="shared" si="4"/>
        <v/>
      </c>
      <c r="C48" s="207" t="str">
        <f>IF('5_Prüfungen'!H20="","",Hausarbeit)</f>
        <v/>
      </c>
      <c r="D48" s="208">
        <f>IF('5_Prüfungen'!I20&lt;&gt;"",'5_Prüfungen'!I20,"")</f>
        <v>4</v>
      </c>
      <c r="E48" s="174">
        <f t="shared" si="5"/>
        <v>30</v>
      </c>
      <c r="F48" s="209">
        <f>IF('5_Prüfungen'!F20="","",'5_Prüfungen'!F20)</f>
        <v>90</v>
      </c>
      <c r="G48" s="252"/>
      <c r="H48" s="174">
        <f>IF(F48="","",IF(F48&lt;=90,'5_Prüfungen'!$M$32,IF(F48&gt;90,'5_Prüfungen'!$M$33,"")))</f>
        <v>10</v>
      </c>
      <c r="I48" s="210">
        <f>IF('5_Prüfungen'!F20&lt;&gt;"",'5_Prüfungen'!F20/60,"")</f>
        <v>1.5</v>
      </c>
      <c r="J48" s="174">
        <f t="shared" si="6"/>
        <v>35</v>
      </c>
      <c r="R48" s="34"/>
      <c r="S48" s="34"/>
      <c r="T48" s="34"/>
    </row>
    <row r="49" spans="2:22" s="32" customFormat="1" ht="12.75" hidden="1" x14ac:dyDescent="0.2">
      <c r="B49" s="207" t="str">
        <f t="shared" si="4"/>
        <v/>
      </c>
      <c r="C49" s="207" t="str">
        <f>IF('5_Prüfungen'!H21="","",Hausarbeit)</f>
        <v/>
      </c>
      <c r="D49" s="208">
        <f>IF('5_Prüfungen'!I21&lt;&gt;"",'5_Prüfungen'!I21,"")</f>
        <v>4</v>
      </c>
      <c r="E49" s="174">
        <f t="shared" si="5"/>
        <v>30</v>
      </c>
      <c r="F49" s="209">
        <f>IF('5_Prüfungen'!F21="","",'5_Prüfungen'!F21)</f>
        <v>90</v>
      </c>
      <c r="G49" s="252"/>
      <c r="H49" s="174">
        <f>IF(F49="","",IF(F49&lt;=90,'5_Prüfungen'!$M$32,IF(F49&gt;90,'5_Prüfungen'!$M$33,"")))</f>
        <v>10</v>
      </c>
      <c r="I49" s="210">
        <f>IF('5_Prüfungen'!F21&lt;&gt;"",'5_Prüfungen'!F21/60,"")</f>
        <v>1.5</v>
      </c>
      <c r="J49" s="174">
        <f t="shared" si="6"/>
        <v>35</v>
      </c>
    </row>
    <row r="50" spans="2:22" s="32" customFormat="1" ht="12.75" hidden="1" x14ac:dyDescent="0.2">
      <c r="B50" s="207">
        <f t="shared" si="4"/>
        <v>70</v>
      </c>
      <c r="C50" s="207">
        <f>IF('5_Prüfungen'!H22="","",Hausarbeit)</f>
        <v>30</v>
      </c>
      <c r="D50" s="208" t="str">
        <f>IF('5_Prüfungen'!I22&lt;&gt;"",'5_Prüfungen'!I22,"")</f>
        <v/>
      </c>
      <c r="E50" s="174" t="str">
        <f t="shared" si="5"/>
        <v/>
      </c>
      <c r="F50" s="209" t="str">
        <f>IF('5_Prüfungen'!F22="","",'5_Prüfungen'!F22)</f>
        <v/>
      </c>
      <c r="G50" s="252"/>
      <c r="H50" s="174" t="str">
        <f>IF(F50="","",IF(F50&lt;=90,'5_Prüfungen'!$M$32,IF(F50&gt;90,'5_Prüfungen'!$M$33,"")))</f>
        <v/>
      </c>
      <c r="I50" s="210" t="str">
        <f>IF('5_Prüfungen'!F22&lt;&gt;"",'5_Prüfungen'!F22/60,"")</f>
        <v/>
      </c>
      <c r="J50" s="174" t="str">
        <f t="shared" si="6"/>
        <v/>
      </c>
    </row>
    <row r="51" spans="2:22" s="32" customFormat="1" ht="12.75" hidden="1" x14ac:dyDescent="0.2">
      <c r="B51" s="207" t="str">
        <f t="shared" si="4"/>
        <v/>
      </c>
      <c r="C51" s="207" t="str">
        <f>IF('5_Prüfungen'!H23="","",Hausarbeit)</f>
        <v/>
      </c>
      <c r="D51" s="208">
        <f>IF('5_Prüfungen'!I23&lt;&gt;"",'5_Prüfungen'!I23,"")</f>
        <v>8</v>
      </c>
      <c r="E51" s="174">
        <f t="shared" si="5"/>
        <v>30</v>
      </c>
      <c r="F51" s="209">
        <f>IF('5_Prüfungen'!F23="","",'5_Prüfungen'!F23)</f>
        <v>120</v>
      </c>
      <c r="G51" s="252"/>
      <c r="H51" s="174">
        <f>IF(F51="","",IF(F51&lt;=90,'5_Prüfungen'!$M$32,IF(F51&gt;90,'5_Prüfungen'!$M$33,"")))</f>
        <v>17.5</v>
      </c>
      <c r="I51" s="210">
        <f>IF('5_Prüfungen'!F23&lt;&gt;"",'5_Prüfungen'!F23/60,"")</f>
        <v>2</v>
      </c>
      <c r="J51" s="174">
        <f t="shared" si="6"/>
        <v>35</v>
      </c>
    </row>
    <row r="52" spans="2:22" s="32" customFormat="1" ht="12.75" hidden="1" x14ac:dyDescent="0.2">
      <c r="B52" s="207">
        <f t="shared" si="4"/>
        <v>70</v>
      </c>
      <c r="C52" s="207" t="str">
        <f>IF('5_Prüfungen'!H24="","",Hausarbeit)</f>
        <v/>
      </c>
      <c r="D52" s="208" t="str">
        <f>IF('5_Prüfungen'!I24&lt;&gt;"",'5_Prüfungen'!I24,"")</f>
        <v/>
      </c>
      <c r="E52" s="174" t="str">
        <f t="shared" si="5"/>
        <v/>
      </c>
      <c r="F52" s="209" t="str">
        <f>IF('5_Prüfungen'!F24="","",'5_Prüfungen'!F24)</f>
        <v/>
      </c>
      <c r="G52" s="252"/>
      <c r="H52" s="174" t="str">
        <f>IF(F52="","",IF(F52&lt;=90,'5_Prüfungen'!$M$32,IF(F52&gt;90,'5_Prüfungen'!$M$33,"")))</f>
        <v/>
      </c>
      <c r="I52" s="210" t="str">
        <f>IF('5_Prüfungen'!F24&lt;&gt;"",'5_Prüfungen'!F24/60,"")</f>
        <v/>
      </c>
      <c r="J52" s="174" t="str">
        <f t="shared" si="6"/>
        <v/>
      </c>
      <c r="R52" s="29"/>
      <c r="S52" s="29"/>
      <c r="T52" s="29"/>
      <c r="U52" s="29"/>
      <c r="V52" s="29"/>
    </row>
    <row r="53" spans="2:22" s="32" customFormat="1" ht="12.75" hidden="1" x14ac:dyDescent="0.2">
      <c r="B53" s="207">
        <f t="shared" si="4"/>
        <v>70</v>
      </c>
      <c r="C53" s="207">
        <f>IF('5_Prüfungen'!H25="","",Hausarbeit)</f>
        <v>30</v>
      </c>
      <c r="D53" s="208" t="str">
        <f>IF('5_Prüfungen'!I25&lt;&gt;"",'5_Prüfungen'!I25,"")</f>
        <v/>
      </c>
      <c r="E53" s="174" t="str">
        <f t="shared" si="5"/>
        <v/>
      </c>
      <c r="F53" s="209" t="str">
        <f>IF('5_Prüfungen'!F25="","",'5_Prüfungen'!F25)</f>
        <v/>
      </c>
      <c r="G53" s="252"/>
      <c r="H53" s="174" t="str">
        <f>IF(F53="","",IF(F53&lt;=90,'5_Prüfungen'!$M$32,IF(F53&gt;90,'5_Prüfungen'!$M$33,"")))</f>
        <v/>
      </c>
      <c r="I53" s="210" t="str">
        <f>IF('5_Prüfungen'!F25&lt;&gt;"",'5_Prüfungen'!F25/60,"")</f>
        <v/>
      </c>
      <c r="J53" s="174" t="str">
        <f t="shared" si="6"/>
        <v/>
      </c>
    </row>
    <row r="54" spans="2:22" s="32" customFormat="1" ht="12.75" hidden="1" x14ac:dyDescent="0.2">
      <c r="B54" s="207" t="str">
        <f t="shared" si="4"/>
        <v/>
      </c>
      <c r="C54" s="207" t="str">
        <f>IF('5_Prüfungen'!H26="","",Hausarbeit)</f>
        <v/>
      </c>
      <c r="D54" s="208">
        <f>IF('5_Prüfungen'!I26&lt;&gt;"",'5_Prüfungen'!I26,"")</f>
        <v>8</v>
      </c>
      <c r="E54" s="174">
        <f t="shared" si="5"/>
        <v>30</v>
      </c>
      <c r="F54" s="209">
        <f>IF('5_Prüfungen'!F26="","",'5_Prüfungen'!F26)</f>
        <v>120</v>
      </c>
      <c r="G54" s="252"/>
      <c r="H54" s="174">
        <f>IF(F54="","",IF(F54&lt;=90,'5_Prüfungen'!$M$32,IF(F54&gt;90,'5_Prüfungen'!$M$33,"")))</f>
        <v>17.5</v>
      </c>
      <c r="I54" s="210">
        <f>IF('5_Prüfungen'!F26&lt;&gt;"",'5_Prüfungen'!F26/60,"")</f>
        <v>2</v>
      </c>
      <c r="J54" s="174">
        <f t="shared" si="6"/>
        <v>35</v>
      </c>
    </row>
    <row r="55" spans="2:22" s="32" customFormat="1" ht="12.75" hidden="1" x14ac:dyDescent="0.2">
      <c r="B55" s="207" t="str">
        <f t="shared" si="4"/>
        <v/>
      </c>
      <c r="C55" s="207" t="str">
        <f>IF('5_Prüfungen'!H27="","",Hausarbeit)</f>
        <v/>
      </c>
      <c r="D55" s="208">
        <f>IF('5_Prüfungen'!I27&lt;&gt;"",'5_Prüfungen'!I27,"")</f>
        <v>8</v>
      </c>
      <c r="E55" s="174">
        <f t="shared" si="5"/>
        <v>30</v>
      </c>
      <c r="F55" s="209">
        <f>IF('5_Prüfungen'!F27="","",'5_Prüfungen'!F27)</f>
        <v>120</v>
      </c>
      <c r="G55" s="252"/>
      <c r="H55" s="174">
        <f>IF(F55="","",IF(F55&lt;=90,'5_Prüfungen'!$M$32,IF(F55&gt;90,'5_Prüfungen'!$M$33,"")))</f>
        <v>17.5</v>
      </c>
      <c r="I55" s="210">
        <f>IF('5_Prüfungen'!F27&lt;&gt;"",'5_Prüfungen'!F27/60,"")</f>
        <v>2</v>
      </c>
      <c r="J55" s="174">
        <f t="shared" si="6"/>
        <v>35</v>
      </c>
    </row>
    <row r="56" spans="2:22" s="32" customFormat="1" ht="12.75" hidden="1" x14ac:dyDescent="0.2">
      <c r="B56" s="207">
        <f t="shared" si="4"/>
        <v>70</v>
      </c>
      <c r="C56" s="207" t="str">
        <f>IF('5_Prüfungen'!H28="","",Hausarbeit)</f>
        <v/>
      </c>
      <c r="D56" s="208" t="str">
        <f>IF('5_Prüfungen'!I28&lt;&gt;"",'5_Prüfungen'!I28,"")</f>
        <v/>
      </c>
      <c r="E56" s="174" t="str">
        <f t="shared" si="5"/>
        <v/>
      </c>
      <c r="F56" s="209" t="str">
        <f>IF('5_Prüfungen'!F28="","",'5_Prüfungen'!F28)</f>
        <v/>
      </c>
      <c r="G56" s="252"/>
      <c r="H56" s="174" t="str">
        <f>IF(F56="","",IF(F56&lt;=90,'5_Prüfungen'!$M$32,IF(F56&gt;90,'5_Prüfungen'!$M$33,"")))</f>
        <v/>
      </c>
      <c r="I56" s="210" t="str">
        <f>IF('5_Prüfungen'!F28&lt;&gt;"",'5_Prüfungen'!F28/60,"")</f>
        <v/>
      </c>
      <c r="J56" s="174" t="str">
        <f t="shared" si="6"/>
        <v/>
      </c>
    </row>
    <row r="57" spans="2:22" s="32" customFormat="1" ht="12.75" hidden="1" x14ac:dyDescent="0.2">
      <c r="B57" s="207" t="str">
        <f t="shared" si="4"/>
        <v/>
      </c>
      <c r="C57" s="207" t="str">
        <f>IF('5_Prüfungen'!H29="","",Hausarbeit)</f>
        <v/>
      </c>
      <c r="D57" s="208">
        <f>IF('5_Prüfungen'!I29&lt;&gt;"",'5_Prüfungen'!I29,"")</f>
        <v>4</v>
      </c>
      <c r="E57" s="174">
        <f t="shared" si="5"/>
        <v>30</v>
      </c>
      <c r="F57" s="209">
        <f>IF('5_Prüfungen'!F29="","",'5_Prüfungen'!F29)</f>
        <v>90</v>
      </c>
      <c r="G57" s="252"/>
      <c r="H57" s="174">
        <f>IF(F57="","",IF(F57&lt;=90,'5_Prüfungen'!$M$32,IF(F57&gt;90,'5_Prüfungen'!$M$33,"")))</f>
        <v>10</v>
      </c>
      <c r="I57" s="210">
        <f>IF('5_Prüfungen'!F29&lt;&gt;"",'5_Prüfungen'!F29/60,"")</f>
        <v>1.5</v>
      </c>
      <c r="J57" s="174">
        <f t="shared" si="6"/>
        <v>35</v>
      </c>
    </row>
    <row r="58" spans="2:22" s="32" customFormat="1" ht="12.75" hidden="1" x14ac:dyDescent="0.2">
      <c r="B58" s="207" t="str">
        <f t="shared" si="4"/>
        <v/>
      </c>
      <c r="C58" s="207" t="str">
        <f>IF('5_Prüfungen'!H30="","",Hausarbeit)</f>
        <v/>
      </c>
      <c r="D58" s="208">
        <f>IF('5_Prüfungen'!I30&lt;&gt;"",'5_Prüfungen'!I30,"")</f>
        <v>8</v>
      </c>
      <c r="E58" s="174">
        <f t="shared" si="5"/>
        <v>30</v>
      </c>
      <c r="F58" s="209">
        <f>IF('5_Prüfungen'!F30="","",'5_Prüfungen'!F30)</f>
        <v>120</v>
      </c>
      <c r="G58" s="252"/>
      <c r="H58" s="174">
        <f>IF(F58="","",IF(F58&lt;=90,'5_Prüfungen'!$M$32,IF(F58&gt;90,'5_Prüfungen'!$M$33,"")))</f>
        <v>17.5</v>
      </c>
      <c r="I58" s="210">
        <f>IF('5_Prüfungen'!F30&lt;&gt;"",'5_Prüfungen'!F30/60,"")</f>
        <v>2</v>
      </c>
      <c r="J58" s="174">
        <f t="shared" si="6"/>
        <v>35</v>
      </c>
    </row>
    <row r="59" spans="2:22" s="32" customFormat="1" ht="12.75" hidden="1" x14ac:dyDescent="0.2">
      <c r="B59" s="207" t="str">
        <f t="shared" si="4"/>
        <v/>
      </c>
      <c r="C59" s="207" t="str">
        <f>IF('5_Prüfungen'!H31="","",Hausarbeit)</f>
        <v/>
      </c>
      <c r="D59" s="208">
        <f>IF('5_Prüfungen'!I31&lt;&gt;"",'5_Prüfungen'!I31,"")</f>
        <v>4</v>
      </c>
      <c r="E59" s="174">
        <f t="shared" si="5"/>
        <v>30</v>
      </c>
      <c r="F59" s="209">
        <f>IF('5_Prüfungen'!F31="","",'5_Prüfungen'!F31)</f>
        <v>90</v>
      </c>
      <c r="G59" s="252"/>
      <c r="H59" s="174">
        <f>IF(F59="","",IF(F59&lt;=90,'5_Prüfungen'!$M$32,IF(F59&gt;90,'5_Prüfungen'!$M$33,"")))</f>
        <v>10</v>
      </c>
      <c r="I59" s="210">
        <f>IF('5_Prüfungen'!F31&lt;&gt;"",'5_Prüfungen'!F31/60,"")</f>
        <v>1.5</v>
      </c>
      <c r="J59" s="174">
        <f t="shared" si="6"/>
        <v>35</v>
      </c>
    </row>
    <row r="60" spans="2:22" s="32" customFormat="1" ht="12.75" hidden="1" x14ac:dyDescent="0.2">
      <c r="B60" s="207">
        <f t="shared" si="4"/>
        <v>70</v>
      </c>
      <c r="C60" s="207">
        <f>IF('5_Prüfungen'!H32="","",Hausarbeit)</f>
        <v>30</v>
      </c>
      <c r="D60" s="208">
        <f>IF('5_Prüfungen'!I32&lt;&gt;"",'5_Prüfungen'!I32,"")</f>
        <v>4</v>
      </c>
      <c r="E60" s="174">
        <f t="shared" si="5"/>
        <v>30</v>
      </c>
      <c r="F60" s="209">
        <f>IF('5_Prüfungen'!F32="","",'5_Prüfungen'!F32)</f>
        <v>90</v>
      </c>
      <c r="G60" s="252"/>
      <c r="H60" s="174">
        <f>IF(F60="","",IF(F60&lt;=90,'5_Prüfungen'!$M$32,IF(F60&gt;90,'5_Prüfungen'!$M$33,"")))</f>
        <v>10</v>
      </c>
      <c r="I60" s="210">
        <f>IF('5_Prüfungen'!F32&lt;&gt;"",'5_Prüfungen'!F32/60,"")</f>
        <v>1.5</v>
      </c>
      <c r="J60" s="174">
        <f t="shared" si="6"/>
        <v>35</v>
      </c>
    </row>
    <row r="61" spans="2:22" s="32" customFormat="1" ht="13.5" hidden="1" thickBot="1" x14ac:dyDescent="0.25">
      <c r="B61" s="207">
        <f t="shared" si="4"/>
        <v>70</v>
      </c>
      <c r="C61" s="211" t="str">
        <f>IF('5_Prüfungen'!H33="","",Hausarbeit)</f>
        <v/>
      </c>
      <c r="D61" s="212">
        <f>IF('5_Prüfungen'!I33&lt;&gt;"",'5_Prüfungen'!I33,"")</f>
        <v>4</v>
      </c>
      <c r="E61" s="176">
        <f t="shared" si="5"/>
        <v>30</v>
      </c>
      <c r="F61" s="213">
        <f>IF('5_Prüfungen'!F33="","",'5_Prüfungen'!F33)</f>
        <v>90</v>
      </c>
      <c r="G61" s="253"/>
      <c r="H61" s="176">
        <f>IF(F61="","",IF(F61&lt;=90,'5_Prüfungen'!$M$32,IF(F61&gt;90,'5_Prüfungen'!$M$33,"")))</f>
        <v>10</v>
      </c>
      <c r="I61" s="214">
        <f>IF('5_Prüfungen'!F33&lt;&gt;"",'5_Prüfungen'!F33/60,"")</f>
        <v>1.5</v>
      </c>
      <c r="J61" s="176">
        <f t="shared" si="6"/>
        <v>35</v>
      </c>
    </row>
    <row r="62" spans="2:22" s="32" customFormat="1" ht="13.5" hidden="1" thickBot="1" x14ac:dyDescent="0.25">
      <c r="B62" s="215"/>
      <c r="C62" s="216"/>
      <c r="D62" s="217">
        <f>SUM(D42:D61)</f>
        <v>76</v>
      </c>
      <c r="E62" s="218"/>
      <c r="F62" s="219"/>
      <c r="G62" s="254"/>
      <c r="H62" s="156"/>
      <c r="I62" s="220">
        <f>SUM(I42:I61)</f>
        <v>24</v>
      </c>
      <c r="J62" s="156"/>
    </row>
    <row r="63" spans="2:22" hidden="1" x14ac:dyDescent="0.25"/>
    <row r="64" spans="2:22" x14ac:dyDescent="0.25">
      <c r="F64" s="62"/>
    </row>
  </sheetData>
  <sheetProtection password="C2D2" sheet="1" objects="1" scenarios="1"/>
  <mergeCells count="2">
    <mergeCell ref="C10:D10"/>
    <mergeCell ref="C3:F3"/>
  </mergeCells>
  <pageMargins left="0.7" right="0.7" top="0.78740157499999996" bottom="0.78740157499999996" header="0.3" footer="0.3"/>
  <pageSetup paperSize="9" scale="76" orientation="landscape" r:id="rId1"/>
  <headerFooter>
    <oddHeader xml:space="preserve">&amp;R&amp;7 5.1_Nebenberechnung_Prüfungskosten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33</vt:i4>
      </vt:variant>
    </vt:vector>
  </HeadingPairs>
  <TitlesOfParts>
    <vt:vector size="44" baseType="lpstr">
      <vt:lpstr>1_Allg_Angaben</vt:lpstr>
      <vt:lpstr>1.1_Nebenberechnungen</vt:lpstr>
      <vt:lpstr>2_Studienverlaufsplan</vt:lpstr>
      <vt:lpstr>3_Lehrmaterial</vt:lpstr>
      <vt:lpstr>3.1_Nebenberechnungen</vt:lpstr>
      <vt:lpstr>4_Präsenz</vt:lpstr>
      <vt:lpstr>4.1_Nebenberechnungen</vt:lpstr>
      <vt:lpstr>5_Prüfungen</vt:lpstr>
      <vt:lpstr>5.1_Nebenberechnungen</vt:lpstr>
      <vt:lpstr>6_Gemeinkosten</vt:lpstr>
      <vt:lpstr>7_Überblick</vt:lpstr>
      <vt:lpstr>Abschlussquote</vt:lpstr>
      <vt:lpstr>Anzahl_HS</vt:lpstr>
      <vt:lpstr>Anzahl_Stud</vt:lpstr>
      <vt:lpstr>Aufnahmekapazität</vt:lpstr>
      <vt:lpstr>Dauer_Studium</vt:lpstr>
      <vt:lpstr>DB_PK</vt:lpstr>
      <vt:lpstr>Druck_pauschal</vt:lpstr>
      <vt:lpstr>'1_Allg_Angaben'!Drucktitel</vt:lpstr>
      <vt:lpstr>Gemeinkosten_Summe</vt:lpstr>
      <vt:lpstr>Gesamt_GK</vt:lpstr>
      <vt:lpstr>Hausarbeit</vt:lpstr>
      <vt:lpstr>Immatrikulation_WS</vt:lpstr>
      <vt:lpstr>Immatrikulation_WS_SS</vt:lpstr>
      <vt:lpstr>Klausur_Aufsicht</vt:lpstr>
      <vt:lpstr>Klausur_Erstellung_Korrektur</vt:lpstr>
      <vt:lpstr>Lehrmaterial_Summe</vt:lpstr>
      <vt:lpstr>Mündliche_Prüfung</vt:lpstr>
      <vt:lpstr>Präsenz_3</vt:lpstr>
      <vt:lpstr>Präsenz_Unterstützung</vt:lpstr>
      <vt:lpstr>Präsenzkosten_Summe</vt:lpstr>
      <vt:lpstr>Prüfungskosten_Summe</vt:lpstr>
      <vt:lpstr>Semester</vt:lpstr>
      <vt:lpstr>Stand_Datum</vt:lpstr>
      <vt:lpstr>Studiengangsbezeichnung</vt:lpstr>
      <vt:lpstr>Summe_Hausarbeit</vt:lpstr>
      <vt:lpstr>Summe_Klausur_Aufsicht</vt:lpstr>
      <vt:lpstr>Summe_Klausur_Erst_Korr</vt:lpstr>
      <vt:lpstr>Summe_Mündliche_Prüfung</vt:lpstr>
      <vt:lpstr>Summe_Präsenz</vt:lpstr>
      <vt:lpstr>Summe_Präsenz_Klausur_Gesamt</vt:lpstr>
      <vt:lpstr>Summe_Präsenz_Unterstützung</vt:lpstr>
      <vt:lpstr>Summe_Präsenz3</vt:lpstr>
      <vt:lpstr>Vergütung_SWS</vt:lpstr>
    </vt:vector>
  </TitlesOfParts>
  <Company>Fachhochschule Südwestfalen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Edling</dc:creator>
  <cp:lastModifiedBy>Julia Fobbe</cp:lastModifiedBy>
  <cp:lastPrinted>2018-02-21T13:38:11Z</cp:lastPrinted>
  <dcterms:created xsi:type="dcterms:W3CDTF">2014-02-25T13:16:37Z</dcterms:created>
  <dcterms:modified xsi:type="dcterms:W3CDTF">2020-04-29T08:04:22Z</dcterms:modified>
</cp:coreProperties>
</file>